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bogdanstepanov/Downloads/"/>
    </mc:Choice>
  </mc:AlternateContent>
  <xr:revisionPtr revIDLastSave="0" documentId="13_ncr:1_{60A46AD0-C965-3A48-846A-7B51C5B7939F}" xr6:coauthVersionLast="47" xr6:coauthVersionMax="47" xr10:uidLastSave="{00000000-0000-0000-0000-000000000000}"/>
  <bookViews>
    <workbookView xWindow="0" yWindow="760" windowWidth="29180" windowHeight="14000" tabRatio="500" activeTab="1" xr2:uid="{00000000-000D-0000-FFFF-FFFF00000000}"/>
  </bookViews>
  <sheets>
    <sheet name="Read Me" sheetId="1" r:id="rId1"/>
    <sheet name="Forecast" sheetId="2" r:id="rId2"/>
    <sheet name="Actuals" sheetId="3" r:id="rId3"/>
    <sheet name="Downsid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3" i="2" l="1"/>
  <c r="B19" i="4"/>
  <c r="O8" i="4"/>
  <c r="N8" i="4"/>
  <c r="M8" i="4"/>
  <c r="L8" i="4"/>
  <c r="K8" i="4"/>
  <c r="J8" i="4"/>
  <c r="I8" i="4"/>
  <c r="H8" i="4"/>
  <c r="G8" i="4"/>
  <c r="F8" i="4"/>
  <c r="E8" i="4"/>
  <c r="D8" i="4"/>
  <c r="C8" i="4"/>
  <c r="C6" i="4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O18" i="3"/>
  <c r="O34" i="3" s="1"/>
  <c r="N18" i="3"/>
  <c r="N34" i="3" s="1"/>
  <c r="M18" i="3"/>
  <c r="M34" i="3" s="1"/>
  <c r="L18" i="3"/>
  <c r="L34" i="3" s="1"/>
  <c r="K18" i="3"/>
  <c r="K34" i="3" s="1"/>
  <c r="J18" i="3"/>
  <c r="J34" i="3" s="1"/>
  <c r="I18" i="3"/>
  <c r="I34" i="3" s="1"/>
  <c r="H18" i="3"/>
  <c r="H34" i="3" s="1"/>
  <c r="G18" i="3"/>
  <c r="G34" i="3" s="1"/>
  <c r="F18" i="3"/>
  <c r="F34" i="3" s="1"/>
  <c r="E18" i="3"/>
  <c r="E34" i="3" s="1"/>
  <c r="D18" i="3"/>
  <c r="D34" i="3" s="1"/>
  <c r="C18" i="3"/>
  <c r="B34" i="2"/>
  <c r="O28" i="2"/>
  <c r="N28" i="2"/>
  <c r="M28" i="2"/>
  <c r="L28" i="2"/>
  <c r="K28" i="2"/>
  <c r="J28" i="2"/>
  <c r="I28" i="2"/>
  <c r="H28" i="2"/>
  <c r="G28" i="2"/>
  <c r="F28" i="2"/>
  <c r="E28" i="2"/>
  <c r="D28" i="2"/>
  <c r="O26" i="2"/>
  <c r="O12" i="4" s="1"/>
  <c r="N26" i="2"/>
  <c r="N12" i="4" s="1"/>
  <c r="M26" i="2"/>
  <c r="M12" i="4" s="1"/>
  <c r="L26" i="2"/>
  <c r="L12" i="4" s="1"/>
  <c r="K26" i="2"/>
  <c r="K12" i="4" s="1"/>
  <c r="J26" i="2"/>
  <c r="J12" i="4" s="1"/>
  <c r="I26" i="2"/>
  <c r="I12" i="4" s="1"/>
  <c r="H26" i="2"/>
  <c r="H12" i="4" s="1"/>
  <c r="G26" i="2"/>
  <c r="G12" i="4" s="1"/>
  <c r="F26" i="2"/>
  <c r="F12" i="4" s="1"/>
  <c r="E26" i="2"/>
  <c r="E12" i="4" s="1"/>
  <c r="D26" i="2"/>
  <c r="D12" i="4" s="1"/>
  <c r="C26" i="2"/>
  <c r="P25" i="2"/>
  <c r="P24" i="2"/>
  <c r="P23" i="2"/>
  <c r="P22" i="2"/>
  <c r="P21" i="2"/>
  <c r="P20" i="2"/>
  <c r="P19" i="2"/>
  <c r="O16" i="2"/>
  <c r="O11" i="4" s="1"/>
  <c r="N16" i="2"/>
  <c r="N11" i="4" s="1"/>
  <c r="M16" i="2"/>
  <c r="M11" i="4" s="1"/>
  <c r="L16" i="2"/>
  <c r="L11" i="4" s="1"/>
  <c r="K16" i="2"/>
  <c r="K11" i="4" s="1"/>
  <c r="J16" i="2"/>
  <c r="J11" i="4" s="1"/>
  <c r="I16" i="2"/>
  <c r="I11" i="4" s="1"/>
  <c r="H16" i="2"/>
  <c r="H11" i="4" s="1"/>
  <c r="G16" i="2"/>
  <c r="G11" i="4" s="1"/>
  <c r="F16" i="2"/>
  <c r="F11" i="4" s="1"/>
  <c r="E16" i="2"/>
  <c r="E11" i="4" s="1"/>
  <c r="D16" i="2"/>
  <c r="D11" i="4" s="1"/>
  <c r="C16" i="2"/>
  <c r="P15" i="2"/>
  <c r="P14" i="2"/>
  <c r="P13" i="2"/>
  <c r="P12" i="2"/>
  <c r="P11" i="2"/>
  <c r="C8" i="2"/>
  <c r="C7" i="2"/>
  <c r="N10" i="4" l="1"/>
  <c r="O10" i="4"/>
  <c r="M10" i="4"/>
  <c r="L10" i="4"/>
  <c r="K10" i="4"/>
  <c r="J10" i="4"/>
  <c r="I10" i="4"/>
  <c r="H10" i="4"/>
  <c r="G10" i="4"/>
  <c r="F10" i="4"/>
  <c r="E10" i="4"/>
  <c r="D10" i="4"/>
  <c r="C10" i="4"/>
  <c r="P26" i="2"/>
  <c r="C12" i="4"/>
  <c r="C11" i="4"/>
  <c r="C28" i="2"/>
  <c r="P16" i="2"/>
  <c r="C5" i="3"/>
  <c r="C21" i="3" s="1"/>
  <c r="D7" i="2"/>
  <c r="C13" i="4" l="1"/>
  <c r="B21" i="4"/>
  <c r="P28" i="2"/>
  <c r="C29" i="2"/>
  <c r="E7" i="2"/>
  <c r="D5" i="3"/>
  <c r="D21" i="3" s="1"/>
  <c r="D6" i="4"/>
  <c r="D13" i="4" l="1"/>
  <c r="C34" i="3"/>
  <c r="D8" i="2"/>
  <c r="D29" i="2" s="1"/>
  <c r="C14" i="4"/>
  <c r="C15" i="4" s="1"/>
  <c r="F7" i="2"/>
  <c r="E5" i="3"/>
  <c r="E21" i="3" s="1"/>
  <c r="E6" i="4"/>
  <c r="E13" i="4" l="1"/>
  <c r="E8" i="2"/>
  <c r="E29" i="2" s="1"/>
  <c r="D14" i="4"/>
  <c r="D15" i="4" s="1"/>
  <c r="G7" i="2"/>
  <c r="F5" i="3"/>
  <c r="F21" i="3" s="1"/>
  <c r="F6" i="4"/>
  <c r="F13" i="4" l="1"/>
  <c r="F8" i="2"/>
  <c r="F29" i="2" s="1"/>
  <c r="E14" i="4"/>
  <c r="E15" i="4" s="1"/>
  <c r="H7" i="2"/>
  <c r="G5" i="3"/>
  <c r="G21" i="3" s="1"/>
  <c r="G6" i="4"/>
  <c r="G13" i="4" l="1"/>
  <c r="G8" i="2"/>
  <c r="G29" i="2" s="1"/>
  <c r="F14" i="4"/>
  <c r="F15" i="4" s="1"/>
  <c r="I7" i="2"/>
  <c r="H5" i="3"/>
  <c r="H21" i="3" s="1"/>
  <c r="H6" i="4"/>
  <c r="H13" i="4" l="1"/>
  <c r="H8" i="2"/>
  <c r="H29" i="2" s="1"/>
  <c r="G14" i="4"/>
  <c r="G15" i="4" s="1"/>
  <c r="J7" i="2"/>
  <c r="I5" i="3"/>
  <c r="I21" i="3" s="1"/>
  <c r="I6" i="4"/>
  <c r="I13" i="4" l="1"/>
  <c r="I8" i="2"/>
  <c r="I29" i="2" s="1"/>
  <c r="H14" i="4"/>
  <c r="H15" i="4" s="1"/>
  <c r="K7" i="2"/>
  <c r="J5" i="3"/>
  <c r="J21" i="3" s="1"/>
  <c r="J6" i="4"/>
  <c r="J13" i="4" l="1"/>
  <c r="J8" i="2"/>
  <c r="J29" i="2" s="1"/>
  <c r="I14" i="4"/>
  <c r="I15" i="4" s="1"/>
  <c r="L7" i="2"/>
  <c r="K5" i="3"/>
  <c r="K21" i="3" s="1"/>
  <c r="K6" i="4"/>
  <c r="K13" i="4" l="1"/>
  <c r="K8" i="2"/>
  <c r="K29" i="2" s="1"/>
  <c r="J14" i="4"/>
  <c r="J15" i="4" s="1"/>
  <c r="M7" i="2"/>
  <c r="L5" i="3"/>
  <c r="L21" i="3" s="1"/>
  <c r="L6" i="4"/>
  <c r="L13" i="4" l="1"/>
  <c r="L8" i="2"/>
  <c r="L29" i="2" s="1"/>
  <c r="K14" i="4"/>
  <c r="K15" i="4" s="1"/>
  <c r="N7" i="2"/>
  <c r="M5" i="3"/>
  <c r="M21" i="3" s="1"/>
  <c r="M6" i="4"/>
  <c r="M13" i="4" l="1"/>
  <c r="L14" i="4"/>
  <c r="L15" i="4" s="1"/>
  <c r="M8" i="2"/>
  <c r="M29" i="2" s="1"/>
  <c r="O7" i="2"/>
  <c r="N5" i="3"/>
  <c r="N21" i="3" s="1"/>
  <c r="N6" i="4"/>
  <c r="N13" i="4" l="1"/>
  <c r="M14" i="4"/>
  <c r="M15" i="4" s="1"/>
  <c r="N8" i="2"/>
  <c r="N29" i="2" s="1"/>
  <c r="O5" i="3"/>
  <c r="O21" i="3" s="1"/>
  <c r="O6" i="4"/>
  <c r="O13" i="4" l="1"/>
  <c r="N14" i="4"/>
  <c r="N15" i="4" s="1"/>
  <c r="O8" i="2"/>
  <c r="O29" i="2" s="1"/>
  <c r="B18" i="4" l="1"/>
  <c r="B22" i="4"/>
  <c r="B36" i="2"/>
  <c r="B32" i="2"/>
  <c r="O14" i="4"/>
  <c r="O15" i="4" s="1"/>
  <c r="B37" i="2"/>
  <c r="B20" i="4" l="1"/>
  <c r="B35" i="2"/>
</calcChain>
</file>

<file path=xl/sharedStrings.xml><?xml version="1.0" encoding="utf-8"?>
<sst xmlns="http://schemas.openxmlformats.org/spreadsheetml/2006/main" count="128" uniqueCount="100">
  <si>
    <t>13-Week Cash Flow Forecast Template</t>
  </si>
  <si>
    <t>ControlFi · control-fi.com · Free to use and adapt</t>
  </si>
  <si>
    <t>What it does</t>
  </si>
  <si>
    <t>Forecasts cash week by week for one quarter using the direct method: opening cash, receipts, disbursements and closing cash. It finds the lowest cash week, tracks actuals against the forecast, and runs a downside where collections arrive late.</t>
  </si>
  <si>
    <t>How to use it</t>
  </si>
  <si>
    <t>1. Forecast tab: enter today's cleared bank balance and the first week-ending date (blue cells). Dates for weeks 2–13 fill in automatically.</t>
  </si>
  <si>
    <t>2. Enter receipts from your AR aging, timed by each customer's actual payment history, not the invoice terms.</t>
  </si>
  <si>
    <t>3. Enter disbursements from your payroll calendar, AP aging and known renewals. Enter all amounts as positive numbers.</t>
  </si>
  <si>
    <t>4. Actuals tab: each Monday, enter last week's actual figures. Variances calculate automatically (negative = unfavorable).</t>
  </si>
  <si>
    <t>5. Downside tab: enter a delay in weeks under any week's collections, plus an optional haircut, to see the new lowest cash week.</t>
  </si>
  <si>
    <t>6. Roll forward weekly: copy the forecast one column left and add a new week 13, so you always see a full quarter.</t>
  </si>
  <si>
    <t>Conventions</t>
  </si>
  <si>
    <t>Blue text = input. Black text = formula. Amounts in US dollars. Disbursements are entered as positive numbers and subtracted in the totals.</t>
  </si>
  <si>
    <t>The pre-filled numbers are the worked example from ControlFi's 13-week cash flow forecast guide (a B2B services company). Replace them with your own.</t>
  </si>
  <si>
    <t>Guide</t>
  </si>
  <si>
    <t>https://control-fi.com/blog/13-week-cash-flow-forecast/</t>
  </si>
  <si>
    <t>This template is provided as is, for planning. It is not accounting, tax or investment advice.</t>
  </si>
  <si>
    <t>13-Week Cash Flow Forecast</t>
  </si>
  <si>
    <t>All amounts in US dollars. Blue = input.</t>
  </si>
  <si>
    <t>Opening cash (cleared bank balance)</t>
  </si>
  <si>
    <t>First week-ending date</t>
  </si>
  <si>
    <t>Line</t>
  </si>
  <si>
    <t>Source / timing basis</t>
  </si>
  <si>
    <t>13-wk total</t>
  </si>
  <si>
    <t>Opening cash</t>
  </si>
  <si>
    <t>CASH RECEIPTS</t>
  </si>
  <si>
    <t>Collections – existing invoices</t>
  </si>
  <si>
    <t>AR aging × each customer's payment history</t>
  </si>
  <si>
    <t>Collections – new invoices</t>
  </si>
  <si>
    <t>Pipeline × close rate; invoice date + terms + slippage</t>
  </si>
  <si>
    <t>Recurring / subscription billings</t>
  </si>
  <si>
    <t>Billing system renewal dates, net of churn</t>
  </si>
  <si>
    <t>Financing inflows</t>
  </si>
  <si>
    <t>Only when documented (signed term sheet, facility)</t>
  </si>
  <si>
    <t>Other receipts</t>
  </si>
  <si>
    <t>Tax refunds, grants: only with a confirmed date</t>
  </si>
  <si>
    <t>Total receipts</t>
  </si>
  <si>
    <t>CASH DISBURSEMENTS (enter as positive numbers)</t>
  </si>
  <si>
    <t>Payroll and payroll taxes</t>
  </si>
  <si>
    <t>Actual pay calendar (watch three-run months)</t>
  </si>
  <si>
    <t>Rent and leases</t>
  </si>
  <si>
    <t>Lease due dates</t>
  </si>
  <si>
    <t>Vendors (AP aging)</t>
  </si>
  <si>
    <t>AP aging, by agreed payment date</t>
  </si>
  <si>
    <t>Insurance and annual software renewals</t>
  </si>
  <si>
    <t>Renewal calendar</t>
  </si>
  <si>
    <t>Taxes</t>
  </si>
  <si>
    <t>Quarterly estimated tax, sales tax, other filings</t>
  </si>
  <si>
    <t>Debt service</t>
  </si>
  <si>
    <t>Principal and interest on exact due dates</t>
  </si>
  <si>
    <t>Other disbursements</t>
  </si>
  <si>
    <t>Contractors, travel, marketing, capex</t>
  </si>
  <si>
    <t>Total disbursements</t>
  </si>
  <si>
    <t>Net cash movement</t>
  </si>
  <si>
    <t>Closing cash</t>
  </si>
  <si>
    <t>KEY OUTPUTS</t>
  </si>
  <si>
    <t>Lowest closing cash</t>
  </si>
  <si>
    <t>Week of lowest closing cash</t>
  </si>
  <si>
    <t>Average weekly disbursements</t>
  </si>
  <si>
    <t>Weeks of cover at the lowest point</t>
  </si>
  <si>
    <t>Weeks with closing cash below zero</t>
  </si>
  <si>
    <t>Ending cash, week 13</t>
  </si>
  <si>
    <t>Actuals and variance</t>
  </si>
  <si>
    <t>Enter each completed week's actuals (blue). Variance = favorable (+) / unfavorable (–). Leave future weeks blank.</t>
  </si>
  <si>
    <t>ACTUALS</t>
  </si>
  <si>
    <t>Actual closing cash</t>
  </si>
  <si>
    <t>VARIANCE (actual vs forecast; + favorable)</t>
  </si>
  <si>
    <t>Closing cash variance</t>
  </si>
  <si>
    <t>Explain every variance above your materiality threshold in one sentence, then update the timing of anything you learned in the Forecast tab.</t>
  </si>
  <si>
    <t>Downside: late collections</t>
  </si>
  <si>
    <t>Enter how many weeks each week's collections arrive late (blue), plus an optional haircut. Collections pushed past week 13 fall outside the forecast.</t>
  </si>
  <si>
    <t>Haircut on all collections (%)</t>
  </si>
  <si>
    <t>Week number</t>
  </si>
  <si>
    <t>Base collections (Forecast)</t>
  </si>
  <si>
    <t>Delay for this week's collections (weeks)</t>
  </si>
  <si>
    <t>Downside collections</t>
  </si>
  <si>
    <t>Other receipts (unchanged)</t>
  </si>
  <si>
    <t>Disbursements (unchanged)</t>
  </si>
  <si>
    <t>Downside closing cash</t>
  </si>
  <si>
    <t>Base closing cash (Forecast)</t>
  </si>
  <si>
    <t>Difference vs base</t>
  </si>
  <si>
    <t>Lowest downside closing cash</t>
  </si>
  <si>
    <t>Week of lowest downside cash</t>
  </si>
  <si>
    <t>Lowest base closing cash</t>
  </si>
  <si>
    <t>Collections pushed beyond week 13</t>
  </si>
  <si>
    <t>Weeks with downside cash below zero</t>
  </si>
  <si>
    <t>Pre-filled example: the two biggest collection weeks (1 and 9) arrive three weeks late.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</si>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</sst>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–"/>
    <numFmt numFmtId="165" formatCode="mmm\ d&quot;, &quot;yyyy"/>
    <numFmt numFmtId="166" formatCode="mmm\ d"/>
    <numFmt numFmtId="167" formatCode="0.0"/>
  </numFmts>
  <fonts count="14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1155CC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i/>
      <sz val="10"/>
      <color rgb="FF666666"/>
      <name val="Arial"/>
      <family val="2"/>
    </font>
    <font>
      <sz val="8"/>
      <name val="Calibri"/>
      <family val="2"/>
      <charset val="1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FA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/>
    <xf numFmtId="164" fontId="8" fillId="0" borderId="0" xfId="0" applyNumberFormat="1" applyFont="1"/>
    <xf numFmtId="0" fontId="3" fillId="0" borderId="0" xfId="0" applyFont="1" applyAlignment="1">
      <alignment horizontal="center"/>
    </xf>
    <xf numFmtId="0" fontId="9" fillId="2" borderId="0" xfId="0" applyFont="1" applyFill="1" applyAlignment="1">
      <alignment horizontal="center" wrapText="1"/>
    </xf>
    <xf numFmtId="166" fontId="9" fillId="2" borderId="0" xfId="0" applyNumberFormat="1" applyFont="1" applyFill="1" applyAlignment="1">
      <alignment horizontal="center" wrapText="1"/>
    </xf>
    <xf numFmtId="164" fontId="7" fillId="0" borderId="0" xfId="0" applyNumberFormat="1" applyFont="1"/>
    <xf numFmtId="0" fontId="10" fillId="0" borderId="0" xfId="0" applyFont="1"/>
    <xf numFmtId="164" fontId="3" fillId="0" borderId="0" xfId="0" applyNumberFormat="1" applyFont="1"/>
    <xf numFmtId="167" fontId="3" fillId="0" borderId="0" xfId="0" applyNumberFormat="1" applyFont="1"/>
    <xf numFmtId="0" fontId="9" fillId="2" borderId="0" xfId="0" applyFont="1" applyFill="1"/>
    <xf numFmtId="166" fontId="9" fillId="2" borderId="0" xfId="0" applyNumberFormat="1" applyFont="1" applyFill="1"/>
    <xf numFmtId="0" fontId="8" fillId="0" borderId="0" xfId="0" applyFont="1"/>
    <xf numFmtId="164" fontId="8" fillId="4" borderId="1" xfId="0" applyNumberFormat="1" applyFont="1" applyFill="1" applyBorder="1"/>
    <xf numFmtId="165" fontId="8" fillId="4" borderId="1" xfId="0" applyNumberFormat="1" applyFont="1" applyFill="1" applyBorder="1"/>
    <xf numFmtId="0" fontId="3" fillId="0" borderId="2" xfId="0" applyFont="1" applyBorder="1"/>
    <xf numFmtId="0" fontId="7" fillId="0" borderId="2" xfId="0" applyFont="1" applyBorder="1"/>
    <xf numFmtId="164" fontId="3" fillId="3" borderId="2" xfId="0" applyNumberFormat="1" applyFont="1" applyFill="1" applyBorder="1"/>
    <xf numFmtId="0" fontId="3" fillId="0" borderId="0" xfId="0" applyFont="1" applyAlignment="1">
      <alignment horizontal="right"/>
    </xf>
    <xf numFmtId="9" fontId="8" fillId="4" borderId="1" xfId="0" applyNumberFormat="1" applyFont="1" applyFill="1" applyBorder="1"/>
    <xf numFmtId="164" fontId="8" fillId="0" borderId="0" xfId="0" applyNumberFormat="1" applyFont="1" applyFill="1"/>
    <xf numFmtId="0" fontId="3" fillId="0" borderId="3" xfId="0" applyFont="1" applyBorder="1"/>
    <xf numFmtId="0" fontId="7" fillId="0" borderId="3" xfId="0" applyFont="1" applyBorder="1"/>
    <xf numFmtId="164" fontId="3" fillId="3" borderId="3" xfId="0" applyNumberFormat="1" applyFont="1" applyFill="1" applyBorder="1"/>
    <xf numFmtId="164" fontId="7" fillId="0" borderId="3" xfId="0" applyNumberFormat="1" applyFont="1" applyBorder="1"/>
    <xf numFmtId="0" fontId="3" fillId="3" borderId="3" xfId="0" applyFont="1" applyFill="1" applyBorder="1"/>
    <xf numFmtId="0" fontId="12" fillId="3" borderId="3" xfId="0" applyFont="1" applyFill="1" applyBorder="1"/>
    <xf numFmtId="164" fontId="12" fillId="3" borderId="3" xfId="0" applyNumberFormat="1" applyFont="1" applyFill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2F7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zoomScaleNormal="100" workbookViewId="0"/>
  </sheetViews>
  <sheetFormatPr baseColWidth="10" defaultColWidth="8.6640625" defaultRowHeight="15" x14ac:dyDescent="0.2"/>
  <cols>
    <col min="1" max="1" width="110" customWidth="1"/>
  </cols>
  <sheetData>
    <row r="1" spans="1:1" ht="19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3"/>
    </row>
    <row r="4" spans="1:1" x14ac:dyDescent="0.2">
      <c r="A4" s="4" t="s">
        <v>2</v>
      </c>
    </row>
    <row r="5" spans="1:1" ht="28" x14ac:dyDescent="0.2">
      <c r="A5" s="5" t="s">
        <v>3</v>
      </c>
    </row>
    <row r="6" spans="1:1" x14ac:dyDescent="0.2">
      <c r="A6" s="3"/>
    </row>
    <row r="7" spans="1:1" x14ac:dyDescent="0.2">
      <c r="A7" s="4" t="s">
        <v>4</v>
      </c>
    </row>
    <row r="8" spans="1:1" x14ac:dyDescent="0.2">
      <c r="A8" s="5" t="s">
        <v>5</v>
      </c>
    </row>
    <row r="9" spans="1:1" x14ac:dyDescent="0.2">
      <c r="A9" s="5" t="s">
        <v>6</v>
      </c>
    </row>
    <row r="10" spans="1:1" x14ac:dyDescent="0.2">
      <c r="A10" s="5" t="s">
        <v>7</v>
      </c>
    </row>
    <row r="11" spans="1:1" x14ac:dyDescent="0.2">
      <c r="A11" s="5" t="s">
        <v>8</v>
      </c>
    </row>
    <row r="12" spans="1:1" x14ac:dyDescent="0.2">
      <c r="A12" s="5" t="s">
        <v>9</v>
      </c>
    </row>
    <row r="13" spans="1:1" x14ac:dyDescent="0.2">
      <c r="A13" s="5" t="s">
        <v>10</v>
      </c>
    </row>
    <row r="14" spans="1:1" x14ac:dyDescent="0.2">
      <c r="A14" s="3"/>
    </row>
    <row r="15" spans="1:1" x14ac:dyDescent="0.2">
      <c r="A15" s="4" t="s">
        <v>11</v>
      </c>
    </row>
    <row r="16" spans="1:1" ht="28" x14ac:dyDescent="0.2">
      <c r="A16" s="5" t="s">
        <v>12</v>
      </c>
    </row>
    <row r="17" spans="1:1" ht="28" x14ac:dyDescent="0.2">
      <c r="A17" s="5" t="s">
        <v>13</v>
      </c>
    </row>
    <row r="18" spans="1:1" x14ac:dyDescent="0.2">
      <c r="A18" s="3"/>
    </row>
    <row r="19" spans="1:1" x14ac:dyDescent="0.2">
      <c r="A19" s="4" t="s">
        <v>14</v>
      </c>
    </row>
    <row r="20" spans="1:1" x14ac:dyDescent="0.2">
      <c r="A20" s="6" t="s">
        <v>15</v>
      </c>
    </row>
    <row r="21" spans="1:1" x14ac:dyDescent="0.2">
      <c r="A21" s="3"/>
    </row>
    <row r="22" spans="1:1" x14ac:dyDescent="0.2">
      <c r="A22" s="2" t="s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6640625" defaultRowHeight="15" x14ac:dyDescent="0.2"/>
  <cols>
    <col min="1" max="1" width="40" customWidth="1"/>
    <col min="2" max="2" width="44" customWidth="1"/>
    <col min="3" max="16" width="11.5" customWidth="1"/>
  </cols>
  <sheetData>
    <row r="1" spans="1:16" ht="17" x14ac:dyDescent="0.2">
      <c r="A1" s="7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">
      <c r="A2" s="9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2">
      <c r="A4" s="10" t="s">
        <v>19</v>
      </c>
      <c r="B4" s="22">
        <v>520000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">
      <c r="A5" s="10" t="s">
        <v>20</v>
      </c>
      <c r="B5" s="23">
        <v>46271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">
      <c r="A6" s="8"/>
      <c r="B6" s="8"/>
      <c r="C6" s="12" t="s">
        <v>87</v>
      </c>
      <c r="D6" s="12" t="s">
        <v>88</v>
      </c>
      <c r="E6" s="12" t="s">
        <v>89</v>
      </c>
      <c r="F6" s="12" t="s">
        <v>90</v>
      </c>
      <c r="G6" s="12" t="s">
        <v>91</v>
      </c>
      <c r="H6" s="12" t="s">
        <v>92</v>
      </c>
      <c r="I6" s="12" t="s">
        <v>93</v>
      </c>
      <c r="J6" s="12" t="s">
        <v>94</v>
      </c>
      <c r="K6" s="12" t="s">
        <v>95</v>
      </c>
      <c r="L6" s="12" t="s">
        <v>96</v>
      </c>
      <c r="M6" s="12" t="s">
        <v>97</v>
      </c>
      <c r="N6" s="12" t="s">
        <v>98</v>
      </c>
      <c r="O6" s="12" t="s">
        <v>99</v>
      </c>
      <c r="P6" s="8"/>
    </row>
    <row r="7" spans="1:16" x14ac:dyDescent="0.2">
      <c r="A7" s="13" t="s">
        <v>21</v>
      </c>
      <c r="B7" s="13" t="s">
        <v>22</v>
      </c>
      <c r="C7" s="14">
        <f>$B$5</f>
        <v>46271</v>
      </c>
      <c r="D7" s="14">
        <f t="shared" ref="D7:O7" si="0">C7+7</f>
        <v>46278</v>
      </c>
      <c r="E7" s="14">
        <f t="shared" si="0"/>
        <v>46285</v>
      </c>
      <c r="F7" s="14">
        <f t="shared" si="0"/>
        <v>46292</v>
      </c>
      <c r="G7" s="14">
        <f t="shared" si="0"/>
        <v>46299</v>
      </c>
      <c r="H7" s="14">
        <f t="shared" si="0"/>
        <v>46306</v>
      </c>
      <c r="I7" s="14">
        <f t="shared" si="0"/>
        <v>46313</v>
      </c>
      <c r="J7" s="14">
        <f t="shared" si="0"/>
        <v>46320</v>
      </c>
      <c r="K7" s="14">
        <f t="shared" si="0"/>
        <v>46327</v>
      </c>
      <c r="L7" s="14">
        <f t="shared" si="0"/>
        <v>46334</v>
      </c>
      <c r="M7" s="14">
        <f t="shared" si="0"/>
        <v>46341</v>
      </c>
      <c r="N7" s="14">
        <f t="shared" si="0"/>
        <v>46348</v>
      </c>
      <c r="O7" s="14">
        <f t="shared" si="0"/>
        <v>46355</v>
      </c>
      <c r="P7" s="13" t="s">
        <v>23</v>
      </c>
    </row>
    <row r="8" spans="1:16" x14ac:dyDescent="0.2">
      <c r="A8" s="10" t="s">
        <v>24</v>
      </c>
      <c r="B8" s="8"/>
      <c r="C8" s="15">
        <f>$B$4</f>
        <v>520000</v>
      </c>
      <c r="D8" s="15">
        <f t="shared" ref="D8:O8" si="1">C29</f>
        <v>537000</v>
      </c>
      <c r="E8" s="15">
        <f t="shared" si="1"/>
        <v>538000</v>
      </c>
      <c r="F8" s="15">
        <f t="shared" si="1"/>
        <v>506000</v>
      </c>
      <c r="G8" s="15">
        <f t="shared" si="1"/>
        <v>493000</v>
      </c>
      <c r="H8" s="15">
        <f t="shared" si="1"/>
        <v>484000</v>
      </c>
      <c r="I8" s="15">
        <f t="shared" si="1"/>
        <v>490000</v>
      </c>
      <c r="J8" s="15">
        <f t="shared" si="1"/>
        <v>440000</v>
      </c>
      <c r="K8" s="15">
        <f t="shared" si="1"/>
        <v>370000</v>
      </c>
      <c r="L8" s="15">
        <f t="shared" si="1"/>
        <v>374000</v>
      </c>
      <c r="M8" s="15">
        <f t="shared" si="1"/>
        <v>376000</v>
      </c>
      <c r="N8" s="15">
        <f t="shared" si="1"/>
        <v>339000</v>
      </c>
      <c r="O8" s="15">
        <f t="shared" si="1"/>
        <v>358000</v>
      </c>
      <c r="P8" s="15"/>
    </row>
    <row r="9" spans="1:16" x14ac:dyDescent="0.2">
      <c r="A9" s="8"/>
      <c r="B9" s="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x14ac:dyDescent="0.2">
      <c r="A10" s="10" t="s">
        <v>25</v>
      </c>
      <c r="B10" s="8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x14ac:dyDescent="0.2">
      <c r="A11" s="8" t="s">
        <v>26</v>
      </c>
      <c r="B11" s="16" t="s">
        <v>27</v>
      </c>
      <c r="C11" s="11">
        <v>145000</v>
      </c>
      <c r="D11" s="11">
        <v>38000</v>
      </c>
      <c r="E11" s="11">
        <v>92000</v>
      </c>
      <c r="F11" s="11">
        <v>61000</v>
      </c>
      <c r="G11" s="11">
        <v>118000</v>
      </c>
      <c r="H11" s="11">
        <v>44000</v>
      </c>
      <c r="I11" s="11">
        <v>76000</v>
      </c>
      <c r="J11" s="11">
        <v>52000</v>
      </c>
      <c r="K11" s="11">
        <v>134000</v>
      </c>
      <c r="L11" s="11">
        <v>41000</v>
      </c>
      <c r="M11" s="11">
        <v>88000</v>
      </c>
      <c r="N11" s="11">
        <v>57000</v>
      </c>
      <c r="O11" s="11">
        <v>121000</v>
      </c>
      <c r="P11" s="17">
        <f t="shared" ref="P11:P16" si="2">SUM(C11:O11)</f>
        <v>1067000</v>
      </c>
    </row>
    <row r="12" spans="1:16" x14ac:dyDescent="0.2">
      <c r="A12" s="8" t="s">
        <v>28</v>
      </c>
      <c r="B12" s="16" t="s">
        <v>29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7">
        <f t="shared" si="2"/>
        <v>0</v>
      </c>
    </row>
    <row r="13" spans="1:16" x14ac:dyDescent="0.2">
      <c r="A13" s="8" t="s">
        <v>30</v>
      </c>
      <c r="B13" s="16" t="s">
        <v>31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7">
        <f t="shared" si="2"/>
        <v>0</v>
      </c>
    </row>
    <row r="14" spans="1:16" x14ac:dyDescent="0.2">
      <c r="A14" s="8" t="s">
        <v>32</v>
      </c>
      <c r="B14" s="16" t="s">
        <v>33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7">
        <f t="shared" si="2"/>
        <v>0</v>
      </c>
    </row>
    <row r="15" spans="1:16" x14ac:dyDescent="0.2">
      <c r="A15" s="8" t="s">
        <v>34</v>
      </c>
      <c r="B15" s="16" t="s">
        <v>35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7">
        <f t="shared" si="2"/>
        <v>0</v>
      </c>
    </row>
    <row r="16" spans="1:16" s="37" customFormat="1" ht="16" thickBot="1" x14ac:dyDescent="0.25">
      <c r="A16" s="34" t="s">
        <v>36</v>
      </c>
      <c r="B16" s="35"/>
      <c r="C16" s="36">
        <f t="shared" ref="C16:O16" si="3">SUM(C11:C15)</f>
        <v>145000</v>
      </c>
      <c r="D16" s="36">
        <f t="shared" si="3"/>
        <v>38000</v>
      </c>
      <c r="E16" s="36">
        <f t="shared" si="3"/>
        <v>92000</v>
      </c>
      <c r="F16" s="36">
        <f t="shared" si="3"/>
        <v>61000</v>
      </c>
      <c r="G16" s="36">
        <f t="shared" si="3"/>
        <v>118000</v>
      </c>
      <c r="H16" s="36">
        <f t="shared" si="3"/>
        <v>44000</v>
      </c>
      <c r="I16" s="36">
        <f t="shared" si="3"/>
        <v>76000</v>
      </c>
      <c r="J16" s="36">
        <f t="shared" si="3"/>
        <v>52000</v>
      </c>
      <c r="K16" s="36">
        <f t="shared" si="3"/>
        <v>134000</v>
      </c>
      <c r="L16" s="36">
        <f t="shared" si="3"/>
        <v>41000</v>
      </c>
      <c r="M16" s="36">
        <f t="shared" si="3"/>
        <v>88000</v>
      </c>
      <c r="N16" s="36">
        <f t="shared" si="3"/>
        <v>57000</v>
      </c>
      <c r="O16" s="36">
        <f t="shared" si="3"/>
        <v>121000</v>
      </c>
      <c r="P16" s="32">
        <f t="shared" si="2"/>
        <v>1067000</v>
      </c>
    </row>
    <row r="17" spans="1:16" x14ac:dyDescent="0.2">
      <c r="A17" s="8"/>
      <c r="B17" s="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">
      <c r="A18" s="10" t="s">
        <v>37</v>
      </c>
      <c r="B18" s="8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">
      <c r="A19" s="8" t="s">
        <v>38</v>
      </c>
      <c r="B19" s="16" t="s">
        <v>39</v>
      </c>
      <c r="C19" s="11">
        <v>82000</v>
      </c>
      <c r="D19" s="11">
        <v>0</v>
      </c>
      <c r="E19" s="11">
        <v>82000</v>
      </c>
      <c r="F19" s="11">
        <v>0</v>
      </c>
      <c r="G19" s="11">
        <v>82000</v>
      </c>
      <c r="H19" s="11">
        <v>0</v>
      </c>
      <c r="I19" s="11">
        <v>82000</v>
      </c>
      <c r="J19" s="11">
        <v>0</v>
      </c>
      <c r="K19" s="11">
        <v>82000</v>
      </c>
      <c r="L19" s="11">
        <v>0</v>
      </c>
      <c r="M19" s="11">
        <v>82000</v>
      </c>
      <c r="N19" s="11">
        <v>0</v>
      </c>
      <c r="O19" s="11">
        <v>82000</v>
      </c>
      <c r="P19" s="17">
        <f t="shared" ref="P19:P26" si="4">SUM(C19:O19)</f>
        <v>574000</v>
      </c>
    </row>
    <row r="20" spans="1:16" x14ac:dyDescent="0.2">
      <c r="A20" s="8" t="s">
        <v>40</v>
      </c>
      <c r="B20" s="16" t="s">
        <v>41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7">
        <f t="shared" si="4"/>
        <v>0</v>
      </c>
    </row>
    <row r="21" spans="1:16" x14ac:dyDescent="0.2">
      <c r="A21" s="8" t="s">
        <v>42</v>
      </c>
      <c r="B21" s="16" t="s">
        <v>43</v>
      </c>
      <c r="C21" s="11">
        <v>34000</v>
      </c>
      <c r="D21" s="11">
        <v>28000</v>
      </c>
      <c r="E21" s="11">
        <v>31000</v>
      </c>
      <c r="F21" s="11">
        <v>26000</v>
      </c>
      <c r="G21" s="11">
        <v>35000</v>
      </c>
      <c r="H21" s="11">
        <v>29000</v>
      </c>
      <c r="I21" s="11">
        <v>33000</v>
      </c>
      <c r="J21" s="11">
        <v>27000</v>
      </c>
      <c r="K21" s="11">
        <v>36000</v>
      </c>
      <c r="L21" s="11">
        <v>30000</v>
      </c>
      <c r="M21" s="11">
        <v>32000</v>
      </c>
      <c r="N21" s="11">
        <v>28000</v>
      </c>
      <c r="O21" s="11">
        <v>34000</v>
      </c>
      <c r="P21" s="17">
        <f t="shared" si="4"/>
        <v>403000</v>
      </c>
    </row>
    <row r="22" spans="1:16" x14ac:dyDescent="0.2">
      <c r="A22" s="8" t="s">
        <v>44</v>
      </c>
      <c r="B22" s="16" t="s">
        <v>45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85000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7">
        <f t="shared" si="4"/>
        <v>85000</v>
      </c>
    </row>
    <row r="23" spans="1:16" x14ac:dyDescent="0.2">
      <c r="A23" s="8" t="s">
        <v>46</v>
      </c>
      <c r="B23" s="16" t="s">
        <v>47</v>
      </c>
      <c r="C23" s="11">
        <v>0</v>
      </c>
      <c r="D23" s="11">
        <v>0</v>
      </c>
      <c r="E23" s="11">
        <v>0</v>
      </c>
      <c r="F23" s="11">
        <v>37000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7">
        <f t="shared" si="4"/>
        <v>37000</v>
      </c>
    </row>
    <row r="24" spans="1:16" x14ac:dyDescent="0.2">
      <c r="A24" s="8" t="s">
        <v>48</v>
      </c>
      <c r="B24" s="16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7">
        <f t="shared" si="4"/>
        <v>0</v>
      </c>
    </row>
    <row r="25" spans="1:16" x14ac:dyDescent="0.2">
      <c r="A25" s="8" t="s">
        <v>50</v>
      </c>
      <c r="B25" s="16" t="s">
        <v>51</v>
      </c>
      <c r="C25" s="11">
        <v>12000</v>
      </c>
      <c r="D25" s="11">
        <v>9000</v>
      </c>
      <c r="E25" s="11">
        <v>11000</v>
      </c>
      <c r="F25" s="11">
        <v>11000</v>
      </c>
      <c r="G25" s="11">
        <v>10000</v>
      </c>
      <c r="H25" s="11">
        <v>9000</v>
      </c>
      <c r="I25" s="11">
        <v>11000</v>
      </c>
      <c r="J25" s="11">
        <v>10000</v>
      </c>
      <c r="K25" s="11">
        <v>12000</v>
      </c>
      <c r="L25" s="11">
        <v>9000</v>
      </c>
      <c r="M25" s="11">
        <v>11000</v>
      </c>
      <c r="N25" s="11">
        <v>10000</v>
      </c>
      <c r="O25" s="11">
        <v>12000</v>
      </c>
      <c r="P25" s="17">
        <f t="shared" si="4"/>
        <v>137000</v>
      </c>
    </row>
    <row r="26" spans="1:16" ht="16" thickBot="1" x14ac:dyDescent="0.25">
      <c r="A26" s="34" t="s">
        <v>52</v>
      </c>
      <c r="B26" s="35"/>
      <c r="C26" s="36">
        <f t="shared" ref="C26:O26" si="5">SUM(C19:C25)</f>
        <v>128000</v>
      </c>
      <c r="D26" s="36">
        <f t="shared" si="5"/>
        <v>37000</v>
      </c>
      <c r="E26" s="36">
        <f t="shared" si="5"/>
        <v>124000</v>
      </c>
      <c r="F26" s="36">
        <f t="shared" si="5"/>
        <v>74000</v>
      </c>
      <c r="G26" s="36">
        <f t="shared" si="5"/>
        <v>127000</v>
      </c>
      <c r="H26" s="36">
        <f t="shared" si="5"/>
        <v>38000</v>
      </c>
      <c r="I26" s="36">
        <f t="shared" si="5"/>
        <v>126000</v>
      </c>
      <c r="J26" s="36">
        <f t="shared" si="5"/>
        <v>122000</v>
      </c>
      <c r="K26" s="36">
        <f t="shared" si="5"/>
        <v>130000</v>
      </c>
      <c r="L26" s="36">
        <f t="shared" si="5"/>
        <v>39000</v>
      </c>
      <c r="M26" s="36">
        <f t="shared" si="5"/>
        <v>125000</v>
      </c>
      <c r="N26" s="36">
        <f t="shared" si="5"/>
        <v>38000</v>
      </c>
      <c r="O26" s="36">
        <f t="shared" si="5"/>
        <v>128000</v>
      </c>
      <c r="P26" s="32">
        <f t="shared" si="4"/>
        <v>1236000</v>
      </c>
    </row>
    <row r="27" spans="1:16" x14ac:dyDescent="0.2">
      <c r="A27" s="8"/>
      <c r="B27" s="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x14ac:dyDescent="0.2">
      <c r="A28" s="10" t="s">
        <v>53</v>
      </c>
      <c r="B28" s="8"/>
      <c r="C28" s="15">
        <f t="shared" ref="C28:O28" si="6">C16-C26</f>
        <v>17000</v>
      </c>
      <c r="D28" s="15">
        <f t="shared" si="6"/>
        <v>1000</v>
      </c>
      <c r="E28" s="15">
        <f t="shared" si="6"/>
        <v>-32000</v>
      </c>
      <c r="F28" s="15">
        <f t="shared" si="6"/>
        <v>-13000</v>
      </c>
      <c r="G28" s="15">
        <f t="shared" si="6"/>
        <v>-9000</v>
      </c>
      <c r="H28" s="15">
        <f t="shared" si="6"/>
        <v>6000</v>
      </c>
      <c r="I28" s="15">
        <f t="shared" si="6"/>
        <v>-50000</v>
      </c>
      <c r="J28" s="15">
        <f t="shared" si="6"/>
        <v>-70000</v>
      </c>
      <c r="K28" s="15">
        <f t="shared" si="6"/>
        <v>4000</v>
      </c>
      <c r="L28" s="15">
        <f t="shared" si="6"/>
        <v>2000</v>
      </c>
      <c r="M28" s="15">
        <f t="shared" si="6"/>
        <v>-37000</v>
      </c>
      <c r="N28" s="15">
        <f t="shared" si="6"/>
        <v>19000</v>
      </c>
      <c r="O28" s="15">
        <f t="shared" si="6"/>
        <v>-7000</v>
      </c>
      <c r="P28" s="17">
        <f>SUM(C28:O28)</f>
        <v>-169000</v>
      </c>
    </row>
    <row r="29" spans="1:16" ht="16" thickBot="1" x14ac:dyDescent="0.25">
      <c r="A29" s="30" t="s">
        <v>54</v>
      </c>
      <c r="B29" s="31"/>
      <c r="C29" s="32">
        <f t="shared" ref="C29:O29" si="7">C8+C28</f>
        <v>537000</v>
      </c>
      <c r="D29" s="32">
        <f t="shared" si="7"/>
        <v>538000</v>
      </c>
      <c r="E29" s="32">
        <f t="shared" si="7"/>
        <v>506000</v>
      </c>
      <c r="F29" s="32">
        <f t="shared" si="7"/>
        <v>493000</v>
      </c>
      <c r="G29" s="32">
        <f t="shared" si="7"/>
        <v>484000</v>
      </c>
      <c r="H29" s="32">
        <f t="shared" si="7"/>
        <v>490000</v>
      </c>
      <c r="I29" s="32">
        <f t="shared" si="7"/>
        <v>440000</v>
      </c>
      <c r="J29" s="32">
        <f t="shared" si="7"/>
        <v>370000</v>
      </c>
      <c r="K29" s="32">
        <f t="shared" si="7"/>
        <v>374000</v>
      </c>
      <c r="L29" s="32">
        <f t="shared" si="7"/>
        <v>376000</v>
      </c>
      <c r="M29" s="32">
        <f t="shared" si="7"/>
        <v>339000</v>
      </c>
      <c r="N29" s="32">
        <f t="shared" si="7"/>
        <v>358000</v>
      </c>
      <c r="O29" s="32">
        <f t="shared" si="7"/>
        <v>351000</v>
      </c>
      <c r="P29" s="33"/>
    </row>
    <row r="30" spans="1:16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">
      <c r="A31" s="10" t="s">
        <v>55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">
      <c r="A32" s="8" t="s">
        <v>56</v>
      </c>
      <c r="B32" s="17">
        <f>MIN(C29:O29)</f>
        <v>339000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">
      <c r="A33" s="8" t="s">
        <v>57</v>
      </c>
      <c r="B33" s="27" t="str">
        <f>"Week "&amp;MATCH(B32,C29:O29,0)&amp;" (week ending "&amp;TEXT(INDEX(C7:O7,MATCH(B32,C29:O29,0)),"mmm d")&amp;")"</f>
        <v>Week 11 (week ending Nov 15)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">
      <c r="A34" s="8" t="s">
        <v>58</v>
      </c>
      <c r="B34" s="17">
        <f>AVERAGE(C26:O26)</f>
        <v>95076.923076923078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">
      <c r="A35" s="8" t="s">
        <v>59</v>
      </c>
      <c r="B35" s="18">
        <f>IFERROR(B32/B34,0)</f>
        <v>3.5655339805825244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x14ac:dyDescent="0.2">
      <c r="A36" s="8" t="s">
        <v>60</v>
      </c>
      <c r="B36" s="10">
        <f>COUNTIF(C29:O29,"&lt;0")</f>
        <v>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2">
      <c r="A37" s="8" t="s">
        <v>61</v>
      </c>
      <c r="B37" s="17">
        <f>O29</f>
        <v>351000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</sheetData>
  <phoneticPr fontId="11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40" customWidth="1"/>
    <col min="2" max="2" width="2" customWidth="1"/>
    <col min="3" max="15" width="11.5" customWidth="1"/>
  </cols>
  <sheetData>
    <row r="1" spans="1:15" ht="17" x14ac:dyDescent="0.2">
      <c r="A1" s="7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">
      <c r="A2" s="9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">
      <c r="A4" s="10" t="s">
        <v>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">
      <c r="A5" s="19" t="s">
        <v>21</v>
      </c>
      <c r="B5" s="19"/>
      <c r="C5" s="20">
        <f>Forecast!C7</f>
        <v>46271</v>
      </c>
      <c r="D5" s="20">
        <f>Forecast!D7</f>
        <v>46278</v>
      </c>
      <c r="E5" s="20">
        <f>Forecast!E7</f>
        <v>46285</v>
      </c>
      <c r="F5" s="20">
        <f>Forecast!F7</f>
        <v>46292</v>
      </c>
      <c r="G5" s="20">
        <f>Forecast!G7</f>
        <v>46299</v>
      </c>
      <c r="H5" s="20">
        <f>Forecast!H7</f>
        <v>46306</v>
      </c>
      <c r="I5" s="20">
        <f>Forecast!I7</f>
        <v>46313</v>
      </c>
      <c r="J5" s="20">
        <f>Forecast!J7</f>
        <v>46320</v>
      </c>
      <c r="K5" s="20">
        <f>Forecast!K7</f>
        <v>46327</v>
      </c>
      <c r="L5" s="20">
        <f>Forecast!L7</f>
        <v>46334</v>
      </c>
      <c r="M5" s="20">
        <f>Forecast!M7</f>
        <v>46341</v>
      </c>
      <c r="N5" s="20">
        <f>Forecast!N7</f>
        <v>46348</v>
      </c>
      <c r="O5" s="20">
        <f>Forecast!O7</f>
        <v>46355</v>
      </c>
    </row>
    <row r="6" spans="1:15" x14ac:dyDescent="0.2">
      <c r="A6" s="8" t="s">
        <v>26</v>
      </c>
      <c r="B6" s="8"/>
      <c r="C6" s="29">
        <v>98000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2">
      <c r="A7" s="8" t="s">
        <v>28</v>
      </c>
      <c r="B7" s="8"/>
      <c r="C7" s="29">
        <v>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8" t="s">
        <v>30</v>
      </c>
      <c r="B8" s="8"/>
      <c r="C8" s="29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8" t="s">
        <v>32</v>
      </c>
      <c r="B9" s="8"/>
      <c r="C9" s="29">
        <v>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x14ac:dyDescent="0.2">
      <c r="A10" s="8" t="s">
        <v>34</v>
      </c>
      <c r="B10" s="8"/>
      <c r="C10" s="29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x14ac:dyDescent="0.2">
      <c r="A11" s="8" t="s">
        <v>38</v>
      </c>
      <c r="B11" s="8"/>
      <c r="C11" s="29">
        <v>82000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x14ac:dyDescent="0.2">
      <c r="A12" s="8" t="s">
        <v>40</v>
      </c>
      <c r="B12" s="8"/>
      <c r="C12" s="29">
        <v>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2">
      <c r="A13" s="8" t="s">
        <v>42</v>
      </c>
      <c r="B13" s="8"/>
      <c r="C13" s="29">
        <v>41000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">
      <c r="A14" s="8" t="s">
        <v>44</v>
      </c>
      <c r="B14" s="8"/>
      <c r="C14" s="29">
        <v>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">
      <c r="A15" s="8" t="s">
        <v>46</v>
      </c>
      <c r="B15" s="8"/>
      <c r="C15" s="29">
        <v>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">
      <c r="A16" s="8" t="s">
        <v>48</v>
      </c>
      <c r="B16" s="8"/>
      <c r="C16" s="29">
        <v>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2">
      <c r="A17" s="8" t="s">
        <v>50</v>
      </c>
      <c r="B17" s="8"/>
      <c r="C17" s="29">
        <v>12000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6" thickBot="1" x14ac:dyDescent="0.25">
      <c r="A18" s="24" t="s">
        <v>65</v>
      </c>
      <c r="B18" s="25"/>
      <c r="C18" s="26">
        <f>IF(COUNT(C6:C17)&gt;0,Forecast!$B$4+SUM(C6:C10)-SUM(C11:C17),"")</f>
        <v>483000</v>
      </c>
      <c r="D18" s="26" t="str">
        <f t="shared" ref="D18:O18" si="0">IF(COUNT(D6:D17)&gt;0,C18+SUM(D6:D10)-SUM(D11:D17),"")</f>
        <v/>
      </c>
      <c r="E18" s="26" t="str">
        <f t="shared" si="0"/>
        <v/>
      </c>
      <c r="F18" s="26" t="str">
        <f t="shared" si="0"/>
        <v/>
      </c>
      <c r="G18" s="26" t="str">
        <f t="shared" si="0"/>
        <v/>
      </c>
      <c r="H18" s="26" t="str">
        <f t="shared" si="0"/>
        <v/>
      </c>
      <c r="I18" s="26" t="str">
        <f t="shared" si="0"/>
        <v/>
      </c>
      <c r="J18" s="26" t="str">
        <f t="shared" si="0"/>
        <v/>
      </c>
      <c r="K18" s="26" t="str">
        <f t="shared" si="0"/>
        <v/>
      </c>
      <c r="L18" s="26" t="str">
        <f t="shared" si="0"/>
        <v/>
      </c>
      <c r="M18" s="26" t="str">
        <f t="shared" si="0"/>
        <v/>
      </c>
      <c r="N18" s="26" t="str">
        <f t="shared" si="0"/>
        <v/>
      </c>
      <c r="O18" s="26" t="str">
        <f t="shared" si="0"/>
        <v/>
      </c>
    </row>
    <row r="19" spans="1:15" ht="16" thickTop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">
      <c r="A20" s="10" t="s">
        <v>66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">
      <c r="A21" s="19" t="s">
        <v>21</v>
      </c>
      <c r="B21" s="19"/>
      <c r="C21" s="20">
        <f t="shared" ref="C21:O21" si="1">C5</f>
        <v>46271</v>
      </c>
      <c r="D21" s="20">
        <f t="shared" si="1"/>
        <v>46278</v>
      </c>
      <c r="E21" s="20">
        <f t="shared" si="1"/>
        <v>46285</v>
      </c>
      <c r="F21" s="20">
        <f t="shared" si="1"/>
        <v>46292</v>
      </c>
      <c r="G21" s="20">
        <f t="shared" si="1"/>
        <v>46299</v>
      </c>
      <c r="H21" s="20">
        <f t="shared" si="1"/>
        <v>46306</v>
      </c>
      <c r="I21" s="20">
        <f t="shared" si="1"/>
        <v>46313</v>
      </c>
      <c r="J21" s="20">
        <f t="shared" si="1"/>
        <v>46320</v>
      </c>
      <c r="K21" s="20">
        <f t="shared" si="1"/>
        <v>46327</v>
      </c>
      <c r="L21" s="20">
        <f t="shared" si="1"/>
        <v>46334</v>
      </c>
      <c r="M21" s="20">
        <f t="shared" si="1"/>
        <v>46341</v>
      </c>
      <c r="N21" s="20">
        <f t="shared" si="1"/>
        <v>46348</v>
      </c>
      <c r="O21" s="20">
        <f t="shared" si="1"/>
        <v>46355</v>
      </c>
    </row>
    <row r="22" spans="1:15" x14ac:dyDescent="0.2">
      <c r="A22" s="8" t="s">
        <v>26</v>
      </c>
      <c r="B22" s="8"/>
      <c r="C22" s="15">
        <f>IF(C6="","",C6-Forecast!C11)</f>
        <v>-47000</v>
      </c>
      <c r="D22" s="15" t="str">
        <f>IF(D6="","",D6-Forecast!D11)</f>
        <v/>
      </c>
      <c r="E22" s="15" t="str">
        <f>IF(E6="","",E6-Forecast!E11)</f>
        <v/>
      </c>
      <c r="F22" s="15" t="str">
        <f>IF(F6="","",F6-Forecast!F11)</f>
        <v/>
      </c>
      <c r="G22" s="15" t="str">
        <f>IF(G6="","",G6-Forecast!G11)</f>
        <v/>
      </c>
      <c r="H22" s="15" t="str">
        <f>IF(H6="","",H6-Forecast!H11)</f>
        <v/>
      </c>
      <c r="I22" s="15" t="str">
        <f>IF(I6="","",I6-Forecast!I11)</f>
        <v/>
      </c>
      <c r="J22" s="15" t="str">
        <f>IF(J6="","",J6-Forecast!J11)</f>
        <v/>
      </c>
      <c r="K22" s="15" t="str">
        <f>IF(K6="","",K6-Forecast!K11)</f>
        <v/>
      </c>
      <c r="L22" s="15" t="str">
        <f>IF(L6="","",L6-Forecast!L11)</f>
        <v/>
      </c>
      <c r="M22" s="15" t="str">
        <f>IF(M6="","",M6-Forecast!M11)</f>
        <v/>
      </c>
      <c r="N22" s="15" t="str">
        <f>IF(N6="","",N6-Forecast!N11)</f>
        <v/>
      </c>
      <c r="O22" s="15" t="str">
        <f>IF(O6="","",O6-Forecast!O11)</f>
        <v/>
      </c>
    </row>
    <row r="23" spans="1:15" x14ac:dyDescent="0.2">
      <c r="A23" s="8" t="s">
        <v>28</v>
      </c>
      <c r="B23" s="8"/>
      <c r="C23" s="15">
        <f>IF(C7="","",C7-Forecast!C12)</f>
        <v>0</v>
      </c>
      <c r="D23" s="15" t="str">
        <f>IF(D7="","",D7-Forecast!D12)</f>
        <v/>
      </c>
      <c r="E23" s="15" t="str">
        <f>IF(E7="","",E7-Forecast!E12)</f>
        <v/>
      </c>
      <c r="F23" s="15" t="str">
        <f>IF(F7="","",F7-Forecast!F12)</f>
        <v/>
      </c>
      <c r="G23" s="15" t="str">
        <f>IF(G7="","",G7-Forecast!G12)</f>
        <v/>
      </c>
      <c r="H23" s="15" t="str">
        <f>IF(H7="","",H7-Forecast!H12)</f>
        <v/>
      </c>
      <c r="I23" s="15" t="str">
        <f>IF(I7="","",I7-Forecast!I12)</f>
        <v/>
      </c>
      <c r="J23" s="15" t="str">
        <f>IF(J7="","",J7-Forecast!J12)</f>
        <v/>
      </c>
      <c r="K23" s="15" t="str">
        <f>IF(K7="","",K7-Forecast!K12)</f>
        <v/>
      </c>
      <c r="L23" s="15" t="str">
        <f>IF(L7="","",L7-Forecast!L12)</f>
        <v/>
      </c>
      <c r="M23" s="15" t="str">
        <f>IF(M7="","",M7-Forecast!M12)</f>
        <v/>
      </c>
      <c r="N23" s="15" t="str">
        <f>IF(N7="","",N7-Forecast!N12)</f>
        <v/>
      </c>
      <c r="O23" s="15" t="str">
        <f>IF(O7="","",O7-Forecast!O12)</f>
        <v/>
      </c>
    </row>
    <row r="24" spans="1:15" x14ac:dyDescent="0.2">
      <c r="A24" s="8" t="s">
        <v>30</v>
      </c>
      <c r="B24" s="8"/>
      <c r="C24" s="15">
        <f>IF(C8="","",C8-Forecast!C13)</f>
        <v>0</v>
      </c>
      <c r="D24" s="15" t="str">
        <f>IF(D8="","",D8-Forecast!D13)</f>
        <v/>
      </c>
      <c r="E24" s="15" t="str">
        <f>IF(E8="","",E8-Forecast!E13)</f>
        <v/>
      </c>
      <c r="F24" s="15" t="str">
        <f>IF(F8="","",F8-Forecast!F13)</f>
        <v/>
      </c>
      <c r="G24" s="15" t="str">
        <f>IF(G8="","",G8-Forecast!G13)</f>
        <v/>
      </c>
      <c r="H24" s="15" t="str">
        <f>IF(H8="","",H8-Forecast!H13)</f>
        <v/>
      </c>
      <c r="I24" s="15" t="str">
        <f>IF(I8="","",I8-Forecast!I13)</f>
        <v/>
      </c>
      <c r="J24" s="15" t="str">
        <f>IF(J8="","",J8-Forecast!J13)</f>
        <v/>
      </c>
      <c r="K24" s="15" t="str">
        <f>IF(K8="","",K8-Forecast!K13)</f>
        <v/>
      </c>
      <c r="L24" s="15" t="str">
        <f>IF(L8="","",L8-Forecast!L13)</f>
        <v/>
      </c>
      <c r="M24" s="15" t="str">
        <f>IF(M8="","",M8-Forecast!M13)</f>
        <v/>
      </c>
      <c r="N24" s="15" t="str">
        <f>IF(N8="","",N8-Forecast!N13)</f>
        <v/>
      </c>
      <c r="O24" s="15" t="str">
        <f>IF(O8="","",O8-Forecast!O13)</f>
        <v/>
      </c>
    </row>
    <row r="25" spans="1:15" x14ac:dyDescent="0.2">
      <c r="A25" s="8" t="s">
        <v>32</v>
      </c>
      <c r="B25" s="8"/>
      <c r="C25" s="15">
        <f>IF(C9="","",C9-Forecast!C14)</f>
        <v>0</v>
      </c>
      <c r="D25" s="15" t="str">
        <f>IF(D9="","",D9-Forecast!D14)</f>
        <v/>
      </c>
      <c r="E25" s="15" t="str">
        <f>IF(E9="","",E9-Forecast!E14)</f>
        <v/>
      </c>
      <c r="F25" s="15" t="str">
        <f>IF(F9="","",F9-Forecast!F14)</f>
        <v/>
      </c>
      <c r="G25" s="15" t="str">
        <f>IF(G9="","",G9-Forecast!G14)</f>
        <v/>
      </c>
      <c r="H25" s="15" t="str">
        <f>IF(H9="","",H9-Forecast!H14)</f>
        <v/>
      </c>
      <c r="I25" s="15" t="str">
        <f>IF(I9="","",I9-Forecast!I14)</f>
        <v/>
      </c>
      <c r="J25" s="15" t="str">
        <f>IF(J9="","",J9-Forecast!J14)</f>
        <v/>
      </c>
      <c r="K25" s="15" t="str">
        <f>IF(K9="","",K9-Forecast!K14)</f>
        <v/>
      </c>
      <c r="L25" s="15" t="str">
        <f>IF(L9="","",L9-Forecast!L14)</f>
        <v/>
      </c>
      <c r="M25" s="15" t="str">
        <f>IF(M9="","",M9-Forecast!M14)</f>
        <v/>
      </c>
      <c r="N25" s="15" t="str">
        <f>IF(N9="","",N9-Forecast!N14)</f>
        <v/>
      </c>
      <c r="O25" s="15" t="str">
        <f>IF(O9="","",O9-Forecast!O14)</f>
        <v/>
      </c>
    </row>
    <row r="26" spans="1:15" x14ac:dyDescent="0.2">
      <c r="A26" s="8" t="s">
        <v>34</v>
      </c>
      <c r="B26" s="8"/>
      <c r="C26" s="15">
        <f>IF(C10="","",C10-Forecast!C15)</f>
        <v>0</v>
      </c>
      <c r="D26" s="15" t="str">
        <f>IF(D10="","",D10-Forecast!D15)</f>
        <v/>
      </c>
      <c r="E26" s="15" t="str">
        <f>IF(E10="","",E10-Forecast!E15)</f>
        <v/>
      </c>
      <c r="F26" s="15" t="str">
        <f>IF(F10="","",F10-Forecast!F15)</f>
        <v/>
      </c>
      <c r="G26" s="15" t="str">
        <f>IF(G10="","",G10-Forecast!G15)</f>
        <v/>
      </c>
      <c r="H26" s="15" t="str">
        <f>IF(H10="","",H10-Forecast!H15)</f>
        <v/>
      </c>
      <c r="I26" s="15" t="str">
        <f>IF(I10="","",I10-Forecast!I15)</f>
        <v/>
      </c>
      <c r="J26" s="15" t="str">
        <f>IF(J10="","",J10-Forecast!J15)</f>
        <v/>
      </c>
      <c r="K26" s="15" t="str">
        <f>IF(K10="","",K10-Forecast!K15)</f>
        <v/>
      </c>
      <c r="L26" s="15" t="str">
        <f>IF(L10="","",L10-Forecast!L15)</f>
        <v/>
      </c>
      <c r="M26" s="15" t="str">
        <f>IF(M10="","",M10-Forecast!M15)</f>
        <v/>
      </c>
      <c r="N26" s="15" t="str">
        <f>IF(N10="","",N10-Forecast!N15)</f>
        <v/>
      </c>
      <c r="O26" s="15" t="str">
        <f>IF(O10="","",O10-Forecast!O15)</f>
        <v/>
      </c>
    </row>
    <row r="27" spans="1:15" x14ac:dyDescent="0.2">
      <c r="A27" s="8" t="s">
        <v>38</v>
      </c>
      <c r="B27" s="8"/>
      <c r="C27" s="15">
        <f>IF(C11="","",Forecast!C19-C11)</f>
        <v>0</v>
      </c>
      <c r="D27" s="15" t="str">
        <f>IF(D11="","",Forecast!D19-D11)</f>
        <v/>
      </c>
      <c r="E27" s="15" t="str">
        <f>IF(E11="","",Forecast!E19-E11)</f>
        <v/>
      </c>
      <c r="F27" s="15" t="str">
        <f>IF(F11="","",Forecast!F19-F11)</f>
        <v/>
      </c>
      <c r="G27" s="15" t="str">
        <f>IF(G11="","",Forecast!G19-G11)</f>
        <v/>
      </c>
      <c r="H27" s="15" t="str">
        <f>IF(H11="","",Forecast!H19-H11)</f>
        <v/>
      </c>
      <c r="I27" s="15" t="str">
        <f>IF(I11="","",Forecast!I19-I11)</f>
        <v/>
      </c>
      <c r="J27" s="15" t="str">
        <f>IF(J11="","",Forecast!J19-J11)</f>
        <v/>
      </c>
      <c r="K27" s="15" t="str">
        <f>IF(K11="","",Forecast!K19-K11)</f>
        <v/>
      </c>
      <c r="L27" s="15" t="str">
        <f>IF(L11="","",Forecast!L19-L11)</f>
        <v/>
      </c>
      <c r="M27" s="15" t="str">
        <f>IF(M11="","",Forecast!M19-M11)</f>
        <v/>
      </c>
      <c r="N27" s="15" t="str">
        <f>IF(N11="","",Forecast!N19-N11)</f>
        <v/>
      </c>
      <c r="O27" s="15" t="str">
        <f>IF(O11="","",Forecast!O19-O11)</f>
        <v/>
      </c>
    </row>
    <row r="28" spans="1:15" x14ac:dyDescent="0.2">
      <c r="A28" s="8" t="s">
        <v>40</v>
      </c>
      <c r="B28" s="8"/>
      <c r="C28" s="15">
        <f>IF(C12="","",Forecast!C20-C12)</f>
        <v>0</v>
      </c>
      <c r="D28" s="15" t="str">
        <f>IF(D12="","",Forecast!D20-D12)</f>
        <v/>
      </c>
      <c r="E28" s="15" t="str">
        <f>IF(E12="","",Forecast!E20-E12)</f>
        <v/>
      </c>
      <c r="F28" s="15" t="str">
        <f>IF(F12="","",Forecast!F20-F12)</f>
        <v/>
      </c>
      <c r="G28" s="15" t="str">
        <f>IF(G12="","",Forecast!G20-G12)</f>
        <v/>
      </c>
      <c r="H28" s="15" t="str">
        <f>IF(H12="","",Forecast!H20-H12)</f>
        <v/>
      </c>
      <c r="I28" s="15" t="str">
        <f>IF(I12="","",Forecast!I20-I12)</f>
        <v/>
      </c>
      <c r="J28" s="15" t="str">
        <f>IF(J12="","",Forecast!J20-J12)</f>
        <v/>
      </c>
      <c r="K28" s="15" t="str">
        <f>IF(K12="","",Forecast!K20-K12)</f>
        <v/>
      </c>
      <c r="L28" s="15" t="str">
        <f>IF(L12="","",Forecast!L20-L12)</f>
        <v/>
      </c>
      <c r="M28" s="15" t="str">
        <f>IF(M12="","",Forecast!M20-M12)</f>
        <v/>
      </c>
      <c r="N28" s="15" t="str">
        <f>IF(N12="","",Forecast!N20-N12)</f>
        <v/>
      </c>
      <c r="O28" s="15" t="str">
        <f>IF(O12="","",Forecast!O20-O12)</f>
        <v/>
      </c>
    </row>
    <row r="29" spans="1:15" x14ac:dyDescent="0.2">
      <c r="A29" s="8" t="s">
        <v>42</v>
      </c>
      <c r="B29" s="8"/>
      <c r="C29" s="15">
        <f>IF(C13="","",Forecast!C21-C13)</f>
        <v>-7000</v>
      </c>
      <c r="D29" s="15" t="str">
        <f>IF(D13="","",Forecast!D21-D13)</f>
        <v/>
      </c>
      <c r="E29" s="15" t="str">
        <f>IF(E13="","",Forecast!E21-E13)</f>
        <v/>
      </c>
      <c r="F29" s="15" t="str">
        <f>IF(F13="","",Forecast!F21-F13)</f>
        <v/>
      </c>
      <c r="G29" s="15" t="str">
        <f>IF(G13="","",Forecast!G21-G13)</f>
        <v/>
      </c>
      <c r="H29" s="15" t="str">
        <f>IF(H13="","",Forecast!H21-H13)</f>
        <v/>
      </c>
      <c r="I29" s="15" t="str">
        <f>IF(I13="","",Forecast!I21-I13)</f>
        <v/>
      </c>
      <c r="J29" s="15" t="str">
        <f>IF(J13="","",Forecast!J21-J13)</f>
        <v/>
      </c>
      <c r="K29" s="15" t="str">
        <f>IF(K13="","",Forecast!K21-K13)</f>
        <v/>
      </c>
      <c r="L29" s="15" t="str">
        <f>IF(L13="","",Forecast!L21-L13)</f>
        <v/>
      </c>
      <c r="M29" s="15" t="str">
        <f>IF(M13="","",Forecast!M21-M13)</f>
        <v/>
      </c>
      <c r="N29" s="15" t="str">
        <f>IF(N13="","",Forecast!N21-N13)</f>
        <v/>
      </c>
      <c r="O29" s="15" t="str">
        <f>IF(O13="","",Forecast!O21-O13)</f>
        <v/>
      </c>
    </row>
    <row r="30" spans="1:15" x14ac:dyDescent="0.2">
      <c r="A30" s="8" t="s">
        <v>44</v>
      </c>
      <c r="B30" s="8"/>
      <c r="C30" s="15">
        <f>IF(C14="","",Forecast!C22-C14)</f>
        <v>0</v>
      </c>
      <c r="D30" s="15" t="str">
        <f>IF(D14="","",Forecast!D22-D14)</f>
        <v/>
      </c>
      <c r="E30" s="15" t="str">
        <f>IF(E14="","",Forecast!E22-E14)</f>
        <v/>
      </c>
      <c r="F30" s="15" t="str">
        <f>IF(F14="","",Forecast!F22-F14)</f>
        <v/>
      </c>
      <c r="G30" s="15" t="str">
        <f>IF(G14="","",Forecast!G22-G14)</f>
        <v/>
      </c>
      <c r="H30" s="15" t="str">
        <f>IF(H14="","",Forecast!H22-H14)</f>
        <v/>
      </c>
      <c r="I30" s="15" t="str">
        <f>IF(I14="","",Forecast!I22-I14)</f>
        <v/>
      </c>
      <c r="J30" s="15" t="str">
        <f>IF(J14="","",Forecast!J22-J14)</f>
        <v/>
      </c>
      <c r="K30" s="15" t="str">
        <f>IF(K14="","",Forecast!K22-K14)</f>
        <v/>
      </c>
      <c r="L30" s="15" t="str">
        <f>IF(L14="","",Forecast!L22-L14)</f>
        <v/>
      </c>
      <c r="M30" s="15" t="str">
        <f>IF(M14="","",Forecast!M22-M14)</f>
        <v/>
      </c>
      <c r="N30" s="15" t="str">
        <f>IF(N14="","",Forecast!N22-N14)</f>
        <v/>
      </c>
      <c r="O30" s="15" t="str">
        <f>IF(O14="","",Forecast!O22-O14)</f>
        <v/>
      </c>
    </row>
    <row r="31" spans="1:15" x14ac:dyDescent="0.2">
      <c r="A31" s="8" t="s">
        <v>46</v>
      </c>
      <c r="B31" s="8"/>
      <c r="C31" s="15">
        <f>IF(C15="","",Forecast!C23-C15)</f>
        <v>0</v>
      </c>
      <c r="D31" s="15" t="str">
        <f>IF(D15="","",Forecast!D23-D15)</f>
        <v/>
      </c>
      <c r="E31" s="15" t="str">
        <f>IF(E15="","",Forecast!E23-E15)</f>
        <v/>
      </c>
      <c r="F31" s="15" t="str">
        <f>IF(F15="","",Forecast!F23-F15)</f>
        <v/>
      </c>
      <c r="G31" s="15" t="str">
        <f>IF(G15="","",Forecast!G23-G15)</f>
        <v/>
      </c>
      <c r="H31" s="15" t="str">
        <f>IF(H15="","",Forecast!H23-H15)</f>
        <v/>
      </c>
      <c r="I31" s="15" t="str">
        <f>IF(I15="","",Forecast!I23-I15)</f>
        <v/>
      </c>
      <c r="J31" s="15" t="str">
        <f>IF(J15="","",Forecast!J23-J15)</f>
        <v/>
      </c>
      <c r="K31" s="15" t="str">
        <f>IF(K15="","",Forecast!K23-K15)</f>
        <v/>
      </c>
      <c r="L31" s="15" t="str">
        <f>IF(L15="","",Forecast!L23-L15)</f>
        <v/>
      </c>
      <c r="M31" s="15" t="str">
        <f>IF(M15="","",Forecast!M23-M15)</f>
        <v/>
      </c>
      <c r="N31" s="15" t="str">
        <f>IF(N15="","",Forecast!N23-N15)</f>
        <v/>
      </c>
      <c r="O31" s="15" t="str">
        <f>IF(O15="","",Forecast!O23-O15)</f>
        <v/>
      </c>
    </row>
    <row r="32" spans="1:15" x14ac:dyDescent="0.2">
      <c r="A32" s="8" t="s">
        <v>48</v>
      </c>
      <c r="B32" s="8"/>
      <c r="C32" s="15">
        <f>IF(C16="","",Forecast!C24-C16)</f>
        <v>0</v>
      </c>
      <c r="D32" s="15" t="str">
        <f>IF(D16="","",Forecast!D24-D16)</f>
        <v/>
      </c>
      <c r="E32" s="15" t="str">
        <f>IF(E16="","",Forecast!E24-E16)</f>
        <v/>
      </c>
      <c r="F32" s="15" t="str">
        <f>IF(F16="","",Forecast!F24-F16)</f>
        <v/>
      </c>
      <c r="G32" s="15" t="str">
        <f>IF(G16="","",Forecast!G24-G16)</f>
        <v/>
      </c>
      <c r="H32" s="15" t="str">
        <f>IF(H16="","",Forecast!H24-H16)</f>
        <v/>
      </c>
      <c r="I32" s="15" t="str">
        <f>IF(I16="","",Forecast!I24-I16)</f>
        <v/>
      </c>
      <c r="J32" s="15" t="str">
        <f>IF(J16="","",Forecast!J24-J16)</f>
        <v/>
      </c>
      <c r="K32" s="15" t="str">
        <f>IF(K16="","",Forecast!K24-K16)</f>
        <v/>
      </c>
      <c r="L32" s="15" t="str">
        <f>IF(L16="","",Forecast!L24-L16)</f>
        <v/>
      </c>
      <c r="M32" s="15" t="str">
        <f>IF(M16="","",Forecast!M24-M16)</f>
        <v/>
      </c>
      <c r="N32" s="15" t="str">
        <f>IF(N16="","",Forecast!N24-N16)</f>
        <v/>
      </c>
      <c r="O32" s="15" t="str">
        <f>IF(O16="","",Forecast!O24-O16)</f>
        <v/>
      </c>
    </row>
    <row r="33" spans="1:15" x14ac:dyDescent="0.2">
      <c r="A33" s="8" t="s">
        <v>50</v>
      </c>
      <c r="B33" s="8"/>
      <c r="C33" s="15">
        <f>IF(C17="","",Forecast!C25-C17)</f>
        <v>0</v>
      </c>
      <c r="D33" s="15" t="str">
        <f>IF(D17="","",Forecast!D25-D17)</f>
        <v/>
      </c>
      <c r="E33" s="15" t="str">
        <f>IF(E17="","",Forecast!E25-E17)</f>
        <v/>
      </c>
      <c r="F33" s="15" t="str">
        <f>IF(F17="","",Forecast!F25-F17)</f>
        <v/>
      </c>
      <c r="G33" s="15" t="str">
        <f>IF(G17="","",Forecast!G25-G17)</f>
        <v/>
      </c>
      <c r="H33" s="15" t="str">
        <f>IF(H17="","",Forecast!H25-H17)</f>
        <v/>
      </c>
      <c r="I33" s="15" t="str">
        <f>IF(I17="","",Forecast!I25-I17)</f>
        <v/>
      </c>
      <c r="J33" s="15" t="str">
        <f>IF(J17="","",Forecast!J25-J17)</f>
        <v/>
      </c>
      <c r="K33" s="15" t="str">
        <f>IF(K17="","",Forecast!K25-K17)</f>
        <v/>
      </c>
      <c r="L33" s="15" t="str">
        <f>IF(L17="","",Forecast!L25-L17)</f>
        <v/>
      </c>
      <c r="M33" s="15" t="str">
        <f>IF(M17="","",Forecast!M25-M17)</f>
        <v/>
      </c>
      <c r="N33" s="15" t="str">
        <f>IF(N17="","",Forecast!N25-N17)</f>
        <v/>
      </c>
      <c r="O33" s="15" t="str">
        <f>IF(O17="","",Forecast!O25-O17)</f>
        <v/>
      </c>
    </row>
    <row r="34" spans="1:15" ht="16" thickBot="1" x14ac:dyDescent="0.25">
      <c r="A34" s="24" t="s">
        <v>67</v>
      </c>
      <c r="B34" s="25"/>
      <c r="C34" s="26">
        <f>IF(C18="","",C18-Forecast!C29)</f>
        <v>-54000</v>
      </c>
      <c r="D34" s="26" t="str">
        <f>IF(D18="","",D18-Forecast!D29)</f>
        <v/>
      </c>
      <c r="E34" s="26" t="str">
        <f>IF(E18="","",E18-Forecast!E29)</f>
        <v/>
      </c>
      <c r="F34" s="26" t="str">
        <f>IF(F18="","",F18-Forecast!F29)</f>
        <v/>
      </c>
      <c r="G34" s="26" t="str">
        <f>IF(G18="","",G18-Forecast!G29)</f>
        <v/>
      </c>
      <c r="H34" s="26" t="str">
        <f>IF(H18="","",H18-Forecast!H29)</f>
        <v/>
      </c>
      <c r="I34" s="26" t="str">
        <f>IF(I18="","",I18-Forecast!I29)</f>
        <v/>
      </c>
      <c r="J34" s="26" t="str">
        <f>IF(J18="","",J18-Forecast!J29)</f>
        <v/>
      </c>
      <c r="K34" s="26" t="str">
        <f>IF(K18="","",K18-Forecast!K29)</f>
        <v/>
      </c>
      <c r="L34" s="26" t="str">
        <f>IF(L18="","",L18-Forecast!L29)</f>
        <v/>
      </c>
      <c r="M34" s="26" t="str">
        <f>IF(M18="","",M18-Forecast!M29)</f>
        <v/>
      </c>
      <c r="N34" s="26" t="str">
        <f>IF(N18="","",N18-Forecast!N29)</f>
        <v/>
      </c>
      <c r="O34" s="26" t="str">
        <f>IF(O18="","",O18-Forecast!O29)</f>
        <v/>
      </c>
    </row>
    <row r="35" spans="1:15" ht="16" thickTop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">
      <c r="A36" s="9" t="s">
        <v>68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"/>
  <sheetViews>
    <sheetView zoomScaleNormal="100" workbookViewId="0"/>
  </sheetViews>
  <sheetFormatPr baseColWidth="10" defaultColWidth="8.6640625" defaultRowHeight="15" x14ac:dyDescent="0.2"/>
  <cols>
    <col min="1" max="1" width="40" customWidth="1"/>
    <col min="2" max="2" width="14" customWidth="1"/>
    <col min="3" max="15" width="11.5" customWidth="1"/>
  </cols>
  <sheetData>
    <row r="1" spans="1:15" ht="17" x14ac:dyDescent="0.2">
      <c r="A1" s="7" t="s">
        <v>69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">
      <c r="A2" s="9" t="s">
        <v>70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">
      <c r="A4" s="10" t="s">
        <v>71</v>
      </c>
      <c r="B4" s="28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">
      <c r="A6" s="19" t="s">
        <v>21</v>
      </c>
      <c r="B6" s="19"/>
      <c r="C6" s="20">
        <f>Forecast!C7</f>
        <v>46271</v>
      </c>
      <c r="D6" s="20">
        <f>Forecast!D7</f>
        <v>46278</v>
      </c>
      <c r="E6" s="20">
        <f>Forecast!E7</f>
        <v>46285</v>
      </c>
      <c r="F6" s="20">
        <f>Forecast!F7</f>
        <v>46292</v>
      </c>
      <c r="G6" s="20">
        <f>Forecast!G7</f>
        <v>46299</v>
      </c>
      <c r="H6" s="20">
        <f>Forecast!H7</f>
        <v>46306</v>
      </c>
      <c r="I6" s="20">
        <f>Forecast!I7</f>
        <v>46313</v>
      </c>
      <c r="J6" s="20">
        <f>Forecast!J7</f>
        <v>46320</v>
      </c>
      <c r="K6" s="20">
        <f>Forecast!K7</f>
        <v>46327</v>
      </c>
      <c r="L6" s="20">
        <f>Forecast!L7</f>
        <v>46334</v>
      </c>
      <c r="M6" s="20">
        <f>Forecast!M7</f>
        <v>46341</v>
      </c>
      <c r="N6" s="20">
        <f>Forecast!N7</f>
        <v>46348</v>
      </c>
      <c r="O6" s="20">
        <f>Forecast!O7</f>
        <v>46355</v>
      </c>
    </row>
    <row r="7" spans="1:15" x14ac:dyDescent="0.2">
      <c r="A7" s="8" t="s">
        <v>72</v>
      </c>
      <c r="B7" s="8"/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  <c r="L7" s="8">
        <v>10</v>
      </c>
      <c r="M7" s="8">
        <v>11</v>
      </c>
      <c r="N7" s="8">
        <v>12</v>
      </c>
      <c r="O7" s="8">
        <v>13</v>
      </c>
    </row>
    <row r="8" spans="1:15" x14ac:dyDescent="0.2">
      <c r="A8" s="8" t="s">
        <v>73</v>
      </c>
      <c r="B8" s="8"/>
      <c r="C8" s="15">
        <f>SUM(Forecast!C11:C13)</f>
        <v>145000</v>
      </c>
      <c r="D8" s="15">
        <f>SUM(Forecast!D11:D13)</f>
        <v>38000</v>
      </c>
      <c r="E8" s="15">
        <f>SUM(Forecast!E11:E13)</f>
        <v>92000</v>
      </c>
      <c r="F8" s="15">
        <f>SUM(Forecast!F11:F13)</f>
        <v>61000</v>
      </c>
      <c r="G8" s="15">
        <f>SUM(Forecast!G11:G13)</f>
        <v>118000</v>
      </c>
      <c r="H8" s="15">
        <f>SUM(Forecast!H11:H13)</f>
        <v>44000</v>
      </c>
      <c r="I8" s="15">
        <f>SUM(Forecast!I11:I13)</f>
        <v>76000</v>
      </c>
      <c r="J8" s="15">
        <f>SUM(Forecast!J11:J13)</f>
        <v>52000</v>
      </c>
      <c r="K8" s="15">
        <f>SUM(Forecast!K11:K13)</f>
        <v>134000</v>
      </c>
      <c r="L8" s="15">
        <f>SUM(Forecast!L11:L13)</f>
        <v>41000</v>
      </c>
      <c r="M8" s="15">
        <f>SUM(Forecast!M11:M13)</f>
        <v>88000</v>
      </c>
      <c r="N8" s="15">
        <f>SUM(Forecast!N11:N13)</f>
        <v>57000</v>
      </c>
      <c r="O8" s="15">
        <f>SUM(Forecast!O11:O13)</f>
        <v>121000</v>
      </c>
    </row>
    <row r="9" spans="1:15" x14ac:dyDescent="0.2">
      <c r="A9" s="10" t="s">
        <v>74</v>
      </c>
      <c r="B9" s="8"/>
      <c r="C9" s="21">
        <v>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3</v>
      </c>
      <c r="L9" s="21">
        <v>0</v>
      </c>
      <c r="M9" s="21">
        <v>0</v>
      </c>
      <c r="N9" s="21">
        <v>0</v>
      </c>
      <c r="O9" s="21">
        <v>0</v>
      </c>
    </row>
    <row r="10" spans="1:15" x14ac:dyDescent="0.2">
      <c r="A10" s="8" t="s">
        <v>75</v>
      </c>
      <c r="B10" s="8"/>
      <c r="C10" s="15">
        <f t="shared" ref="C10:O10" si="0">SUMPRODUCT(($C$7:$O$7+$C$9:$O$9=C$7)*$C$8:$O$8)*(1-$B$4)</f>
        <v>0</v>
      </c>
      <c r="D10" s="15">
        <f t="shared" si="0"/>
        <v>38000</v>
      </c>
      <c r="E10" s="15">
        <f t="shared" si="0"/>
        <v>92000</v>
      </c>
      <c r="F10" s="15">
        <f t="shared" si="0"/>
        <v>206000</v>
      </c>
      <c r="G10" s="15">
        <f t="shared" si="0"/>
        <v>118000</v>
      </c>
      <c r="H10" s="15">
        <f t="shared" si="0"/>
        <v>44000</v>
      </c>
      <c r="I10" s="15">
        <f t="shared" si="0"/>
        <v>76000</v>
      </c>
      <c r="J10" s="15">
        <f t="shared" si="0"/>
        <v>52000</v>
      </c>
      <c r="K10" s="15">
        <f t="shared" si="0"/>
        <v>0</v>
      </c>
      <c r="L10" s="15">
        <f t="shared" si="0"/>
        <v>41000</v>
      </c>
      <c r="M10" s="15">
        <f t="shared" si="0"/>
        <v>88000</v>
      </c>
      <c r="N10" s="15">
        <f t="shared" si="0"/>
        <v>191000</v>
      </c>
      <c r="O10" s="15">
        <f t="shared" si="0"/>
        <v>121000</v>
      </c>
    </row>
    <row r="11" spans="1:15" x14ac:dyDescent="0.2">
      <c r="A11" s="8" t="s">
        <v>76</v>
      </c>
      <c r="B11" s="8"/>
      <c r="C11" s="15">
        <f>Forecast!C16-C8</f>
        <v>0</v>
      </c>
      <c r="D11" s="15">
        <f>Forecast!D16-D8</f>
        <v>0</v>
      </c>
      <c r="E11" s="15">
        <f>Forecast!E16-E8</f>
        <v>0</v>
      </c>
      <c r="F11" s="15">
        <f>Forecast!F16-F8</f>
        <v>0</v>
      </c>
      <c r="G11" s="15">
        <f>Forecast!G16-G8</f>
        <v>0</v>
      </c>
      <c r="H11" s="15">
        <f>Forecast!H16-H8</f>
        <v>0</v>
      </c>
      <c r="I11" s="15">
        <f>Forecast!I16-I8</f>
        <v>0</v>
      </c>
      <c r="J11" s="15">
        <f>Forecast!J16-J8</f>
        <v>0</v>
      </c>
      <c r="K11" s="15">
        <f>Forecast!K16-K8</f>
        <v>0</v>
      </c>
      <c r="L11" s="15">
        <f>Forecast!L16-L8</f>
        <v>0</v>
      </c>
      <c r="M11" s="15">
        <f>Forecast!M16-M8</f>
        <v>0</v>
      </c>
      <c r="N11" s="15">
        <f>Forecast!N16-N8</f>
        <v>0</v>
      </c>
      <c r="O11" s="15">
        <f>Forecast!O16-O8</f>
        <v>0</v>
      </c>
    </row>
    <row r="12" spans="1:15" x14ac:dyDescent="0.2">
      <c r="A12" s="8" t="s">
        <v>77</v>
      </c>
      <c r="B12" s="8"/>
      <c r="C12" s="15">
        <f>Forecast!C26</f>
        <v>128000</v>
      </c>
      <c r="D12" s="15">
        <f>Forecast!D26</f>
        <v>37000</v>
      </c>
      <c r="E12" s="15">
        <f>Forecast!E26</f>
        <v>124000</v>
      </c>
      <c r="F12" s="15">
        <f>Forecast!F26</f>
        <v>74000</v>
      </c>
      <c r="G12" s="15">
        <f>Forecast!G26</f>
        <v>127000</v>
      </c>
      <c r="H12" s="15">
        <f>Forecast!H26</f>
        <v>38000</v>
      </c>
      <c r="I12" s="15">
        <f>Forecast!I26</f>
        <v>126000</v>
      </c>
      <c r="J12" s="15">
        <f>Forecast!J26</f>
        <v>122000</v>
      </c>
      <c r="K12" s="15">
        <f>Forecast!K26</f>
        <v>130000</v>
      </c>
      <c r="L12" s="15">
        <f>Forecast!L26</f>
        <v>39000</v>
      </c>
      <c r="M12" s="15">
        <f>Forecast!M26</f>
        <v>125000</v>
      </c>
      <c r="N12" s="15">
        <f>Forecast!N26</f>
        <v>38000</v>
      </c>
      <c r="O12" s="15">
        <f>Forecast!O26</f>
        <v>128000</v>
      </c>
    </row>
    <row r="13" spans="1:15" ht="16" thickBot="1" x14ac:dyDescent="0.25">
      <c r="A13" s="24" t="s">
        <v>78</v>
      </c>
      <c r="B13" s="25"/>
      <c r="C13" s="26">
        <f>Forecast!$B$4+C10+C11-C12</f>
        <v>392000</v>
      </c>
      <c r="D13" s="26">
        <f t="shared" ref="D13:O13" si="1">C13+D10+D11-D12</f>
        <v>393000</v>
      </c>
      <c r="E13" s="26">
        <f t="shared" si="1"/>
        <v>361000</v>
      </c>
      <c r="F13" s="26">
        <f t="shared" si="1"/>
        <v>493000</v>
      </c>
      <c r="G13" s="26">
        <f t="shared" si="1"/>
        <v>484000</v>
      </c>
      <c r="H13" s="26">
        <f t="shared" si="1"/>
        <v>490000</v>
      </c>
      <c r="I13" s="26">
        <f t="shared" si="1"/>
        <v>440000</v>
      </c>
      <c r="J13" s="26">
        <f t="shared" si="1"/>
        <v>370000</v>
      </c>
      <c r="K13" s="26">
        <f t="shared" si="1"/>
        <v>240000</v>
      </c>
      <c r="L13" s="26">
        <f t="shared" si="1"/>
        <v>242000</v>
      </c>
      <c r="M13" s="26">
        <f t="shared" si="1"/>
        <v>205000</v>
      </c>
      <c r="N13" s="26">
        <f t="shared" si="1"/>
        <v>358000</v>
      </c>
      <c r="O13" s="26">
        <f t="shared" si="1"/>
        <v>351000</v>
      </c>
    </row>
    <row r="14" spans="1:15" ht="16" thickTop="1" x14ac:dyDescent="0.2">
      <c r="A14" s="8" t="s">
        <v>79</v>
      </c>
      <c r="B14" s="8"/>
      <c r="C14" s="15">
        <f>Forecast!C29</f>
        <v>537000</v>
      </c>
      <c r="D14" s="15">
        <f>Forecast!D29</f>
        <v>538000</v>
      </c>
      <c r="E14" s="15">
        <f>Forecast!E29</f>
        <v>506000</v>
      </c>
      <c r="F14" s="15">
        <f>Forecast!F29</f>
        <v>493000</v>
      </c>
      <c r="G14" s="15">
        <f>Forecast!G29</f>
        <v>484000</v>
      </c>
      <c r="H14" s="15">
        <f>Forecast!H29</f>
        <v>490000</v>
      </c>
      <c r="I14" s="15">
        <f>Forecast!I29</f>
        <v>440000</v>
      </c>
      <c r="J14" s="15">
        <f>Forecast!J29</f>
        <v>370000</v>
      </c>
      <c r="K14" s="15">
        <f>Forecast!K29</f>
        <v>374000</v>
      </c>
      <c r="L14" s="15">
        <f>Forecast!L29</f>
        <v>376000</v>
      </c>
      <c r="M14" s="15">
        <f>Forecast!M29</f>
        <v>339000</v>
      </c>
      <c r="N14" s="15">
        <f>Forecast!N29</f>
        <v>358000</v>
      </c>
      <c r="O14" s="15">
        <f>Forecast!O29</f>
        <v>351000</v>
      </c>
    </row>
    <row r="15" spans="1:15" x14ac:dyDescent="0.2">
      <c r="A15" s="8" t="s">
        <v>80</v>
      </c>
      <c r="B15" s="8"/>
      <c r="C15" s="15">
        <f t="shared" ref="C15:O15" si="2">C13-C14</f>
        <v>-145000</v>
      </c>
      <c r="D15" s="15">
        <f t="shared" si="2"/>
        <v>-145000</v>
      </c>
      <c r="E15" s="15">
        <f t="shared" si="2"/>
        <v>-145000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-134000</v>
      </c>
      <c r="L15" s="15">
        <f t="shared" si="2"/>
        <v>-134000</v>
      </c>
      <c r="M15" s="15">
        <f t="shared" si="2"/>
        <v>-134000</v>
      </c>
      <c r="N15" s="15">
        <f t="shared" si="2"/>
        <v>0</v>
      </c>
      <c r="O15" s="15">
        <f t="shared" si="2"/>
        <v>0</v>
      </c>
    </row>
    <row r="16" spans="1:1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">
      <c r="A17" s="10" t="s">
        <v>55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">
      <c r="A18" s="8" t="s">
        <v>81</v>
      </c>
      <c r="B18" s="17">
        <f>MIN(C13:O13)</f>
        <v>205000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8" t="s">
        <v>82</v>
      </c>
      <c r="B19" s="27" t="str">
        <f>"Week "&amp;MATCH(B18,C13:O13,0)</f>
        <v>Week 11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">
      <c r="A20" s="8" t="s">
        <v>83</v>
      </c>
      <c r="B20" s="17">
        <f>Forecast!B32</f>
        <v>339000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">
      <c r="A21" s="8" t="s">
        <v>84</v>
      </c>
      <c r="B21" s="17">
        <f>SUM(C8:O8)*(1-$B$4)-SUM(C10:O10)</f>
        <v>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x14ac:dyDescent="0.2">
      <c r="A22" s="8" t="s">
        <v>85</v>
      </c>
      <c r="B22" s="10">
        <f>COUNTIF(C13:O13,"&lt;0")</f>
        <v>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">
      <c r="A24" s="9" t="s">
        <v>86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</sheetData>
  <dataValidations count="1">
    <dataValidation type="whole" sqref="C9:O9" xr:uid="{00000000-0002-0000-0300-000000000000}">
      <formula1>0</formula1>
      <formula2>13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Forecast</vt:lpstr>
      <vt:lpstr>Actuals</vt:lpstr>
      <vt:lpstr>Downside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Bogdan Stepanov</cp:lastModifiedBy>
  <cp:revision>0</cp:revision>
  <dcterms:created xsi:type="dcterms:W3CDTF">2026-10-06T06:00:56Z</dcterms:created>
  <dcterms:modified xsi:type="dcterms:W3CDTF">2026-10-06T06:12:14Z</dcterms:modified>
  <dc:language>en-US</dc:language>
</cp:coreProperties>
</file>