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ogdanstepanov/Downloads/"/>
    </mc:Choice>
  </mc:AlternateContent>
  <xr:revisionPtr revIDLastSave="0" documentId="13_ncr:1_{633A1D18-BA6F-3542-973C-D47D377ECFE8}" xr6:coauthVersionLast="47" xr6:coauthVersionMax="47" xr10:uidLastSave="{00000000-0000-0000-0000-000000000000}"/>
  <bookViews>
    <workbookView xWindow="0" yWindow="760" windowWidth="25400" windowHeight="14300" tabRatio="500" xr2:uid="{00000000-000D-0000-FFFF-FFFF00000000}"/>
  </bookViews>
  <sheets>
    <sheet name="Read Me" sheetId="1" r:id="rId1"/>
    <sheet name="Assumptions" sheetId="2" r:id="rId2"/>
    <sheet name="Income Statement" sheetId="3" r:id="rId3"/>
    <sheet name="Balance Sheet" sheetId="4" r:id="rId4"/>
    <sheet name="Cash Flow" sheetId="5" r:id="rId5"/>
    <sheet name="Checks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6" l="1"/>
  <c r="B9" i="6"/>
  <c r="D22" i="5"/>
  <c r="H18" i="5"/>
  <c r="G18" i="5"/>
  <c r="F18" i="5"/>
  <c r="E18" i="5"/>
  <c r="D18" i="5"/>
  <c r="H17" i="5"/>
  <c r="H19" i="5" s="1"/>
  <c r="G17" i="5"/>
  <c r="G19" i="5" s="1"/>
  <c r="F17" i="5"/>
  <c r="F19" i="5" s="1"/>
  <c r="E17" i="5"/>
  <c r="E19" i="5" s="1"/>
  <c r="D17" i="5"/>
  <c r="D19" i="5" s="1"/>
  <c r="D7" i="5"/>
  <c r="C21" i="4"/>
  <c r="B21" i="4"/>
  <c r="E19" i="4"/>
  <c r="D19" i="4"/>
  <c r="C17" i="4"/>
  <c r="B17" i="4"/>
  <c r="B23" i="4" s="1"/>
  <c r="D16" i="4"/>
  <c r="E16" i="4" s="1"/>
  <c r="F16" i="4" s="1"/>
  <c r="G18" i="3" s="1"/>
  <c r="C15" i="4"/>
  <c r="B15" i="4"/>
  <c r="C11" i="4"/>
  <c r="B11" i="4"/>
  <c r="B25" i="4" s="1"/>
  <c r="B6" i="6" s="1"/>
  <c r="C9" i="4"/>
  <c r="B9" i="4"/>
  <c r="B24" i="3"/>
  <c r="F18" i="3"/>
  <c r="E18" i="3"/>
  <c r="D18" i="3"/>
  <c r="B17" i="3"/>
  <c r="B19" i="3" s="1"/>
  <c r="B21" i="3" s="1"/>
  <c r="B25" i="3" s="1"/>
  <c r="D16" i="3"/>
  <c r="B15" i="3"/>
  <c r="C13" i="3"/>
  <c r="B13" i="3"/>
  <c r="D10" i="3"/>
  <c r="C8" i="3"/>
  <c r="C23" i="3" s="1"/>
  <c r="B8" i="3"/>
  <c r="B23" i="3" s="1"/>
  <c r="D6" i="3"/>
  <c r="D12" i="3" s="1"/>
  <c r="C24" i="2"/>
  <c r="C23" i="2"/>
  <c r="C22" i="2"/>
  <c r="C19" i="2"/>
  <c r="B19" i="2"/>
  <c r="C18" i="2"/>
  <c r="B18" i="2"/>
  <c r="C17" i="2"/>
  <c r="B17" i="2"/>
  <c r="C16" i="2"/>
  <c r="B16" i="2"/>
  <c r="C12" i="2"/>
  <c r="C11" i="2"/>
  <c r="C10" i="2"/>
  <c r="B10" i="2"/>
  <c r="C9" i="2"/>
  <c r="B9" i="2"/>
  <c r="C8" i="2"/>
  <c r="B8" i="2"/>
  <c r="C7" i="2"/>
  <c r="B7" i="2"/>
  <c r="C6" i="2"/>
  <c r="D13" i="3" l="1"/>
  <c r="E6" i="3"/>
  <c r="G16" i="4"/>
  <c r="C15" i="3"/>
  <c r="F19" i="4"/>
  <c r="D7" i="3"/>
  <c r="D14" i="5"/>
  <c r="D14" i="4"/>
  <c r="D11" i="5" s="1"/>
  <c r="D11" i="3"/>
  <c r="C23" i="4"/>
  <c r="C25" i="4" s="1"/>
  <c r="C6" i="6" s="1"/>
  <c r="D7" i="4"/>
  <c r="D10" i="4" l="1"/>
  <c r="D15" i="5"/>
  <c r="D8" i="4"/>
  <c r="D13" i="4"/>
  <c r="G19" i="4"/>
  <c r="E7" i="3"/>
  <c r="E14" i="5"/>
  <c r="E15" i="5" s="1"/>
  <c r="E14" i="4"/>
  <c r="E11" i="5" s="1"/>
  <c r="E11" i="3"/>
  <c r="F6" i="3"/>
  <c r="E7" i="4"/>
  <c r="E8" i="5" s="1"/>
  <c r="E12" i="3"/>
  <c r="E10" i="3"/>
  <c r="E13" i="3" s="1"/>
  <c r="C17" i="3"/>
  <c r="C19" i="3" s="1"/>
  <c r="C21" i="3" s="1"/>
  <c r="C24" i="3"/>
  <c r="H18" i="3"/>
  <c r="H16" i="4"/>
  <c r="D8" i="5"/>
  <c r="D8" i="3"/>
  <c r="C8" i="6" l="1"/>
  <c r="C25" i="3"/>
  <c r="H19" i="4"/>
  <c r="D15" i="4"/>
  <c r="D17" i="4" s="1"/>
  <c r="D10" i="5"/>
  <c r="E8" i="4"/>
  <c r="E13" i="4"/>
  <c r="E9" i="5"/>
  <c r="D9" i="5"/>
  <c r="G6" i="3"/>
  <c r="F14" i="5"/>
  <c r="F15" i="5" s="1"/>
  <c r="F14" i="4"/>
  <c r="F11" i="5" s="1"/>
  <c r="F11" i="3"/>
  <c r="F12" i="3"/>
  <c r="F7" i="4"/>
  <c r="F7" i="3"/>
  <c r="F10" i="3"/>
  <c r="F13" i="3" s="1"/>
  <c r="E8" i="3"/>
  <c r="E16" i="3"/>
  <c r="E7" i="5" s="1"/>
  <c r="F8" i="5"/>
  <c r="D23" i="3"/>
  <c r="D15" i="3"/>
  <c r="E15" i="3" l="1"/>
  <c r="E23" i="3"/>
  <c r="E15" i="4"/>
  <c r="E17" i="4" s="1"/>
  <c r="E10" i="5"/>
  <c r="F8" i="4"/>
  <c r="F13" i="4"/>
  <c r="G8" i="5"/>
  <c r="D17" i="3"/>
  <c r="D19" i="3" s="1"/>
  <c r="D24" i="3"/>
  <c r="F8" i="3"/>
  <c r="E10" i="4"/>
  <c r="G11" i="3"/>
  <c r="G14" i="5"/>
  <c r="G15" i="5" s="1"/>
  <c r="G14" i="4"/>
  <c r="G11" i="5" s="1"/>
  <c r="H6" i="3"/>
  <c r="G7" i="3"/>
  <c r="G8" i="3" s="1"/>
  <c r="G12" i="3"/>
  <c r="G10" i="3"/>
  <c r="G7" i="4"/>
  <c r="G23" i="3" l="1"/>
  <c r="H14" i="5"/>
  <c r="H15" i="5" s="1"/>
  <c r="H14" i="4"/>
  <c r="H11" i="5" s="1"/>
  <c r="H11" i="3"/>
  <c r="C10" i="1"/>
  <c r="H7" i="4"/>
  <c r="H8" i="5" s="1"/>
  <c r="H12" i="3"/>
  <c r="H7" i="3"/>
  <c r="H10" i="3"/>
  <c r="D21" i="3"/>
  <c r="D20" i="3"/>
  <c r="G8" i="4"/>
  <c r="G13" i="4"/>
  <c r="G9" i="5"/>
  <c r="F9" i="5"/>
  <c r="F16" i="3"/>
  <c r="F7" i="5" s="1"/>
  <c r="G13" i="3"/>
  <c r="G15" i="3" s="1"/>
  <c r="F23" i="3"/>
  <c r="F15" i="3"/>
  <c r="F10" i="5"/>
  <c r="F15" i="4"/>
  <c r="F17" i="4" s="1"/>
  <c r="E24" i="3"/>
  <c r="E17" i="3"/>
  <c r="E19" i="3" s="1"/>
  <c r="G24" i="3" l="1"/>
  <c r="H8" i="4"/>
  <c r="H13" i="4"/>
  <c r="F10" i="4"/>
  <c r="E20" i="3"/>
  <c r="E21" i="3" s="1"/>
  <c r="F24" i="3"/>
  <c r="F17" i="3"/>
  <c r="F19" i="3" s="1"/>
  <c r="D6" i="5"/>
  <c r="D12" i="5" s="1"/>
  <c r="D20" i="4"/>
  <c r="D25" i="3"/>
  <c r="H8" i="3"/>
  <c r="G15" i="4"/>
  <c r="G17" i="4" s="1"/>
  <c r="G10" i="5"/>
  <c r="H9" i="5"/>
  <c r="H13" i="3"/>
  <c r="E6" i="5" l="1"/>
  <c r="E12" i="5" s="1"/>
  <c r="E25" i="3"/>
  <c r="G16" i="3"/>
  <c r="H15" i="3"/>
  <c r="H23" i="3"/>
  <c r="H15" i="4"/>
  <c r="H17" i="4" s="1"/>
  <c r="H10" i="5"/>
  <c r="D8" i="6"/>
  <c r="E20" i="4"/>
  <c r="D21" i="4"/>
  <c r="D23" i="4" s="1"/>
  <c r="F20" i="3"/>
  <c r="F21" i="3" s="1"/>
  <c r="D21" i="5"/>
  <c r="D23" i="5" s="1"/>
  <c r="D6" i="4" s="1"/>
  <c r="D25" i="5"/>
  <c r="F6" i="5" l="1"/>
  <c r="F12" i="5" s="1"/>
  <c r="F25" i="3"/>
  <c r="D9" i="6"/>
  <c r="D7" i="6"/>
  <c r="E22" i="5"/>
  <c r="D9" i="4"/>
  <c r="D11" i="4" s="1"/>
  <c r="D25" i="4" s="1"/>
  <c r="D6" i="6" s="1"/>
  <c r="G7" i="5"/>
  <c r="G17" i="3"/>
  <c r="G19" i="3" s="1"/>
  <c r="G10" i="4"/>
  <c r="H24" i="3"/>
  <c r="C11" i="1" s="1"/>
  <c r="E8" i="6"/>
  <c r="F20" i="4"/>
  <c r="E21" i="4"/>
  <c r="E23" i="4" s="1"/>
  <c r="E21" i="5"/>
  <c r="E25" i="5"/>
  <c r="E23" i="5" l="1"/>
  <c r="E6" i="4" s="1"/>
  <c r="H16" i="3"/>
  <c r="H10" i="4"/>
  <c r="F8" i="6"/>
  <c r="F21" i="4"/>
  <c r="F23" i="4" s="1"/>
  <c r="G20" i="3"/>
  <c r="G21" i="3"/>
  <c r="F21" i="5"/>
  <c r="F25" i="5"/>
  <c r="G6" i="5" l="1"/>
  <c r="G12" i="5" s="1"/>
  <c r="G25" i="3"/>
  <c r="H7" i="5"/>
  <c r="H17" i="3"/>
  <c r="H19" i="3" s="1"/>
  <c r="G20" i="4"/>
  <c r="E9" i="6"/>
  <c r="E7" i="6"/>
  <c r="F22" i="5"/>
  <c r="F23" i="5" s="1"/>
  <c r="F6" i="4" s="1"/>
  <c r="E9" i="4"/>
  <c r="E11" i="4" s="1"/>
  <c r="E25" i="4" s="1"/>
  <c r="E6" i="6" s="1"/>
  <c r="F9" i="6" l="1"/>
  <c r="F7" i="6"/>
  <c r="F9" i="4"/>
  <c r="F11" i="4" s="1"/>
  <c r="F25" i="4" s="1"/>
  <c r="F6" i="6" s="1"/>
  <c r="G22" i="5"/>
  <c r="G8" i="6"/>
  <c r="G21" i="4"/>
  <c r="G23" i="4" s="1"/>
  <c r="H20" i="3"/>
  <c r="H21" i="3" s="1"/>
  <c r="G21" i="5"/>
  <c r="G25" i="5"/>
  <c r="H25" i="3" l="1"/>
  <c r="H6" i="5"/>
  <c r="H12" i="5" s="1"/>
  <c r="H20" i="4"/>
  <c r="G23" i="5"/>
  <c r="G6" i="4" s="1"/>
  <c r="G9" i="6" l="1"/>
  <c r="G7" i="6"/>
  <c r="H22" i="5"/>
  <c r="G9" i="4"/>
  <c r="G11" i="4" s="1"/>
  <c r="G25" i="4" s="1"/>
  <c r="G6" i="6" s="1"/>
  <c r="H8" i="6"/>
  <c r="H21" i="4"/>
  <c r="H23" i="4" s="1"/>
  <c r="H21" i="5"/>
  <c r="H23" i="5" s="1"/>
  <c r="H6" i="4" s="1"/>
  <c r="H25" i="5"/>
  <c r="H9" i="6" l="1"/>
  <c r="H7" i="6"/>
  <c r="H9" i="4"/>
  <c r="H11" i="4" s="1"/>
  <c r="H25" i="4" s="1"/>
  <c r="H6" i="6" s="1"/>
  <c r="C9" i="1"/>
  <c r="C8" i="1"/>
  <c r="B11" i="6" l="1"/>
  <c r="C7" i="1" s="1"/>
</calcChain>
</file>

<file path=xl/sharedStrings.xml><?xml version="1.0" encoding="utf-8"?>
<sst xmlns="http://schemas.openxmlformats.org/spreadsheetml/2006/main" count="192" uniqueCount="126">
  <si>
    <t>Three-Statement Model Template</t>
  </si>
  <si>
    <t>Income statement, balance sheet and cash flow — fully linked, driver-based, with built-in checks.</t>
  </si>
  <si>
    <t>ControlFi · control-fi.com/blog/3-statement-model/</t>
  </si>
  <si>
    <t>Summary</t>
  </si>
  <si>
    <t>Model status</t>
  </si>
  <si>
    <t>Lowest forecast cash ($000)</t>
  </si>
  <si>
    <t>…in year</t>
  </si>
  <si>
    <t>2030E revenue ($000)</t>
  </si>
  <si>
    <t>2030E EBITDA margin</t>
  </si>
  <si>
    <t>How to use it</t>
  </si>
  <si>
    <t>1. Enter two years of actuals in the blue cells on Income Statement and Balance Sheet. They must balance.</t>
  </si>
  <si>
    <t>2. Set the forecast drivers in the blue cells on Assumptions. Grey columns show your historical ratios for reference.</t>
  </si>
  <si>
    <t>3. Read Checks. Every cell must say OK before you rely on any number.</t>
  </si>
  <si>
    <t>4. Do not type over black or green cells. They are formulas; the model only stays linked if they stay formulas.</t>
  </si>
  <si>
    <t>Color legend</t>
  </si>
  <si>
    <t>Blue text</t>
  </si>
  <si>
    <t>Input — safe to change</t>
  </si>
  <si>
    <t>Black text</t>
  </si>
  <si>
    <t>Formula on this sheet</t>
  </si>
  <si>
    <t>Green text</t>
  </si>
  <si>
    <t>Formula linked to another sheet</t>
  </si>
  <si>
    <t>Yellow fill</t>
  </si>
  <si>
    <t>Key assumption — the numbers that move the answer most</t>
  </si>
  <si>
    <t>Deliberate simplifications</t>
  </si>
  <si>
    <t>• Annual periods, not monthly. For cash runway month by month, use a 13-week or monthly cash forecast.</t>
  </si>
  <si>
    <t>• Interest is charged on opening debt. This avoids a circular reference — see "The circular reference problem" in the article.</t>
  </si>
  <si>
    <t>• Tax is floored at zero with no loss carry-forward. Replace with your actual tax position.</t>
  </si>
  <si>
    <t>• There is no revolver. If cash goes negative the Checks sheet flags it rather than silently funding it.</t>
  </si>
  <si>
    <t>• Costs are entered as positive numbers and subtracted in the subtotals.</t>
  </si>
  <si>
    <t>The example figures are an illustrative B2B software company, not a real client. Replace them with your own.</t>
  </si>
  <si>
    <t>Want it built on your real numbers and defended in front of investors?</t>
  </si>
  <si>
    <t>control-fi.com/financial-modeling/</t>
  </si>
  <si>
    <t>Free to use and adapt. © 2026 ControlFi.</t>
  </si>
  <si>
    <t>Assumptions</t>
  </si>
  <si>
    <t>Blue cells are the forecast drivers. Grey historical columns show the ratios implied by your actuals — use them to calibrate.</t>
  </si>
  <si>
    <t>$ in thousands</t>
  </si>
  <si>
    <t>2024A</t>
  </si>
  <si>
    <t>2025A</t>
  </si>
  <si>
    <t>2026E</t>
  </si>
  <si>
    <t>2027E</t>
  </si>
  <si>
    <t>2028E</t>
  </si>
  <si>
    <t>2029E</t>
  </si>
  <si>
    <t>2030E</t>
  </si>
  <si>
    <t>Operating</t>
  </si>
  <si>
    <t>Actual</t>
  </si>
  <si>
    <t>Forecast</t>
  </si>
  <si>
    <t>Revenue growth</t>
  </si>
  <si>
    <t>Gross margin</t>
  </si>
  <si>
    <t>Sales &amp; marketing, % of revenue</t>
  </si>
  <si>
    <t>Research &amp; development, % of revenue</t>
  </si>
  <si>
    <t>General &amp; administrative, % of revenue</t>
  </si>
  <si>
    <t>D&amp;A, % of opening PP&amp;E</t>
  </si>
  <si>
    <t>Capex, % of revenue</t>
  </si>
  <si>
    <t>Tax rate (applied to positive pre-tax profit only)</t>
  </si>
  <si>
    <t>Working capital</t>
  </si>
  <si>
    <t>Receivable days (DSO)</t>
  </si>
  <si>
    <t>Inventory days (DIO) — set to 0 for software</t>
  </si>
  <si>
    <t>Payable days (DPO)</t>
  </si>
  <si>
    <t>Deferred revenue, % of revenue</t>
  </si>
  <si>
    <t>Financing</t>
  </si>
  <si>
    <t>Debt drawdown / (repayment)</t>
  </si>
  <si>
    <t>Interest rate on opening debt</t>
  </si>
  <si>
    <t>Equity raised</t>
  </si>
  <si>
    <t>Income Statement</t>
  </si>
  <si>
    <t>Actuals in blue; forecast is driven entirely by the Assumptions sheet.</t>
  </si>
  <si>
    <t>Revenue</t>
  </si>
  <si>
    <t>Cost of revenue</t>
  </si>
  <si>
    <t>Gross profit</t>
  </si>
  <si>
    <t>Operating expenses</t>
  </si>
  <si>
    <t>Sales &amp; marketing</t>
  </si>
  <si>
    <t>Research &amp; development</t>
  </si>
  <si>
    <t>General &amp; administrative</t>
  </si>
  <si>
    <t>Total operating expenses</t>
  </si>
  <si>
    <t>EBITDA</t>
  </si>
  <si>
    <t>Depreciation &amp; amortization</t>
  </si>
  <si>
    <t>EBIT</t>
  </si>
  <si>
    <t>Interest expense</t>
  </si>
  <si>
    <t>Profit before tax</t>
  </si>
  <si>
    <t>Income tax</t>
  </si>
  <si>
    <t>Net income</t>
  </si>
  <si>
    <t>Margins</t>
  </si>
  <si>
    <t>EBITDA margin</t>
  </si>
  <si>
    <t>Net margin</t>
  </si>
  <si>
    <t>Balance Sheet</t>
  </si>
  <si>
    <t>Actuals in blue must balance. Forecast cash comes from the Cash Flow statement.</t>
  </si>
  <si>
    <t>Cash</t>
  </si>
  <si>
    <t>Accounts receivable</t>
  </si>
  <si>
    <t>Inventory</t>
  </si>
  <si>
    <t>Total current assets</t>
  </si>
  <si>
    <t>Property &amp; equipment, net</t>
  </si>
  <si>
    <t>Total assets</t>
  </si>
  <si>
    <t>Liabilities</t>
  </si>
  <si>
    <t>Accounts payable</t>
  </si>
  <si>
    <t>Deferred revenue</t>
  </si>
  <si>
    <t>Total current liabilities</t>
  </si>
  <si>
    <t>Debt</t>
  </si>
  <si>
    <t>Total liabilities</t>
  </si>
  <si>
    <t>Equity</t>
  </si>
  <si>
    <t>Paid-in capital</t>
  </si>
  <si>
    <t>Retained earnings</t>
  </si>
  <si>
    <t>Total equity</t>
  </si>
  <si>
    <t>Total liabilities &amp; equity</t>
  </si>
  <si>
    <t>Balance check (assets − liabilities &amp; equity)</t>
  </si>
  <si>
    <t>Cash Flow Statement</t>
  </si>
  <si>
    <t>Indirect method. Forecast years only — it is what closes the loop to the balance sheet.</t>
  </si>
  <si>
    <t>n/a</t>
  </si>
  <si>
    <t>(Increase) / decrease in accounts receivable</t>
  </si>
  <si>
    <t>(Increase) / decrease in inventory</t>
  </si>
  <si>
    <t>Increase / (decrease) in accounts payable</t>
  </si>
  <si>
    <t>Increase / (decrease) in deferred revenue</t>
  </si>
  <si>
    <t>Cash flow from operations</t>
  </si>
  <si>
    <t>Capital expenditure</t>
  </si>
  <si>
    <t>Cash flow from investing</t>
  </si>
  <si>
    <t>Cash flow from financing</t>
  </si>
  <si>
    <t>Net change in cash</t>
  </si>
  <si>
    <t>Opening cash</t>
  </si>
  <si>
    <t>Closing cash</t>
  </si>
  <si>
    <t>Free cash flow (operations + capex)</t>
  </si>
  <si>
    <t>Checks</t>
  </si>
  <si>
    <t>Every cell below must read OK. If one does not, the model is not finished.</t>
  </si>
  <si>
    <t>Check</t>
  </si>
  <si>
    <t>Balance sheet balances</t>
  </si>
  <si>
    <t>Balance sheet cash = cash flow closing cash</t>
  </si>
  <si>
    <t>Retained earnings roll forward by net income</t>
  </si>
  <si>
    <t>Cash stays positive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</si>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</sst>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;\(0.0%\);\-"/>
    <numFmt numFmtId="166" formatCode="0;\(0\);\-"/>
  </numFmts>
  <fonts count="15" x14ac:knownFonts="1">
    <font>
      <sz val="11"/>
      <color theme="1"/>
      <name val="Calibri"/>
      <family val="2"/>
      <charset val="1"/>
    </font>
    <font>
      <i/>
      <sz val="10"/>
      <color rgb="FF555555"/>
      <name val="Arial"/>
      <family val="2"/>
    </font>
    <font>
      <u/>
      <sz val="10"/>
      <color rgb="FF0563C1"/>
      <name val="Arial"/>
      <family val="2"/>
    </font>
    <font>
      <b/>
      <sz val="10"/>
      <name val="Arial"/>
      <family val="2"/>
    </font>
    <font>
      <b/>
      <sz val="10"/>
      <color rgb="FF008000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8"/>
      <color rgb="FF0070C0"/>
      <name val="Arial"/>
      <family val="2"/>
    </font>
    <font>
      <b/>
      <sz val="14"/>
      <color rgb="FF0070C0"/>
      <name val="Arial"/>
      <family val="2"/>
    </font>
    <font>
      <i/>
      <sz val="10"/>
      <color rgb="FF0070C0"/>
      <name val="Arial"/>
      <family val="2"/>
    </font>
    <font>
      <sz val="10"/>
      <color rgb="FF555555"/>
      <name val="Arial"/>
      <family val="2"/>
    </font>
    <font>
      <b/>
      <sz val="11"/>
      <color theme="1"/>
      <name val="Calibri"/>
      <family val="2"/>
      <charset val="1"/>
    </font>
    <font>
      <b/>
      <sz val="10"/>
      <color rgb="FF5555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002060"/>
        <bgColor rgb="FF003366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left"/>
    </xf>
    <xf numFmtId="0" fontId="5" fillId="0" borderId="0" xfId="0" applyFont="1"/>
    <xf numFmtId="164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7" fillId="0" borderId="0" xfId="0" applyFont="1"/>
    <xf numFmtId="0" fontId="6" fillId="0" borderId="0" xfId="0" applyFont="1"/>
    <xf numFmtId="0" fontId="5" fillId="2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indent="1"/>
    </xf>
    <xf numFmtId="0" fontId="0" fillId="3" borderId="0" xfId="0" applyFill="1"/>
    <xf numFmtId="165" fontId="6" fillId="3" borderId="0" xfId="0" applyNumberFormat="1" applyFont="1" applyFill="1"/>
    <xf numFmtId="165" fontId="7" fillId="2" borderId="0" xfId="0" applyNumberFormat="1" applyFont="1" applyFill="1"/>
    <xf numFmtId="165" fontId="7" fillId="0" borderId="0" xfId="0" applyNumberFormat="1" applyFont="1"/>
    <xf numFmtId="166" fontId="6" fillId="3" borderId="0" xfId="0" applyNumberFormat="1" applyFont="1" applyFill="1"/>
    <xf numFmtId="166" fontId="7" fillId="0" borderId="0" xfId="0" applyNumberFormat="1" applyFont="1"/>
    <xf numFmtId="164" fontId="6" fillId="3" borderId="0" xfId="0" applyNumberFormat="1" applyFont="1" applyFill="1"/>
    <xf numFmtId="164" fontId="7" fillId="0" borderId="0" xfId="0" applyNumberFormat="1" applyFont="1"/>
    <xf numFmtId="164" fontId="7" fillId="2" borderId="0" xfId="0" applyNumberFormat="1" applyFont="1" applyFill="1"/>
    <xf numFmtId="164" fontId="6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165" fontId="5" fillId="0" borderId="0" xfId="0" applyNumberFormat="1" applyFont="1"/>
    <xf numFmtId="164" fontId="5" fillId="0" borderId="0" xfId="0" applyNumberFormat="1" applyFont="1"/>
    <xf numFmtId="0" fontId="0" fillId="0" borderId="1" xfId="0" applyBorder="1"/>
    <xf numFmtId="0" fontId="9" fillId="0" borderId="0" xfId="0" applyFont="1"/>
    <xf numFmtId="0" fontId="10" fillId="0" borderId="0" xfId="0" applyFont="1"/>
    <xf numFmtId="0" fontId="8" fillId="4" borderId="0" xfId="0" applyFont="1" applyFill="1"/>
    <xf numFmtId="0" fontId="8" fillId="4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13" fillId="0" borderId="0" xfId="0" applyFont="1"/>
    <xf numFmtId="0" fontId="3" fillId="0" borderId="3" xfId="0" applyFont="1" applyBorder="1"/>
    <xf numFmtId="0" fontId="13" fillId="0" borderId="3" xfId="0" applyFont="1" applyBorder="1"/>
    <xf numFmtId="164" fontId="3" fillId="0" borderId="3" xfId="0" applyNumberFormat="1" applyFont="1" applyBorder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ol-fi.com/financial-modeling/" TargetMode="External"/><Relationship Id="rId1" Type="http://schemas.openxmlformats.org/officeDocument/2006/relationships/hyperlink" Target="https://control-fi.com/blog/3-statement-mod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8"/>
  <sheetViews>
    <sheetView tabSelected="1" zoomScaleNormal="100" workbookViewId="0"/>
  </sheetViews>
  <sheetFormatPr baseColWidth="10" defaultColWidth="8.6640625" defaultRowHeight="15" x14ac:dyDescent="0.2"/>
  <cols>
    <col min="1" max="1" width="3" customWidth="1"/>
    <col min="2" max="2" width="34" customWidth="1"/>
    <col min="3" max="3" width="70" customWidth="1"/>
  </cols>
  <sheetData>
    <row r="2" spans="2:3" ht="23" x14ac:dyDescent="0.25">
      <c r="B2" s="28" t="s">
        <v>0</v>
      </c>
    </row>
    <row r="3" spans="2:3" x14ac:dyDescent="0.2">
      <c r="B3" s="33" t="s">
        <v>1</v>
      </c>
    </row>
    <row r="4" spans="2:3" x14ac:dyDescent="0.2">
      <c r="B4" s="2" t="s">
        <v>2</v>
      </c>
    </row>
    <row r="6" spans="2:3" x14ac:dyDescent="0.2">
      <c r="B6" s="3" t="s">
        <v>3</v>
      </c>
    </row>
    <row r="7" spans="2:3" x14ac:dyDescent="0.2">
      <c r="B7" s="3" t="s">
        <v>4</v>
      </c>
      <c r="C7" s="4" t="str">
        <f>Checks!B11</f>
        <v>ALL CHECKS PASS</v>
      </c>
    </row>
    <row r="8" spans="2:3" x14ac:dyDescent="0.2">
      <c r="B8" s="5" t="s">
        <v>5</v>
      </c>
      <c r="C8" s="6">
        <f>MIN('Balance Sheet'!D6:H6)</f>
        <v>3648.2378082191781</v>
      </c>
    </row>
    <row r="9" spans="2:3" x14ac:dyDescent="0.2">
      <c r="B9" s="5" t="s">
        <v>6</v>
      </c>
      <c r="C9" s="6" t="str">
        <f>INDEX('Balance Sheet'!D4:H4,MATCH(MIN('Balance Sheet'!D6:H6),'Balance Sheet'!D6:H6,0))</f>
        <v>2027E</v>
      </c>
    </row>
    <row r="10" spans="2:3" x14ac:dyDescent="0.2">
      <c r="B10" s="5" t="s">
        <v>7</v>
      </c>
      <c r="C10" s="6">
        <f>'Income Statement'!H6</f>
        <v>17607.352320000002</v>
      </c>
    </row>
    <row r="11" spans="2:3" x14ac:dyDescent="0.2">
      <c r="B11" s="5" t="s">
        <v>8</v>
      </c>
      <c r="C11" s="7">
        <f>'Income Statement'!H24</f>
        <v>0.22000000000000006</v>
      </c>
    </row>
    <row r="13" spans="2:3" x14ac:dyDescent="0.2">
      <c r="B13" s="3" t="s">
        <v>9</v>
      </c>
    </row>
    <row r="14" spans="2:3" x14ac:dyDescent="0.2">
      <c r="B14" s="5" t="s">
        <v>10</v>
      </c>
    </row>
    <row r="15" spans="2:3" x14ac:dyDescent="0.2">
      <c r="B15" s="5" t="s">
        <v>11</v>
      </c>
    </row>
    <row r="16" spans="2:3" x14ac:dyDescent="0.2">
      <c r="B16" s="5" t="s">
        <v>12</v>
      </c>
    </row>
    <row r="17" spans="2:3" x14ac:dyDescent="0.2">
      <c r="B17" s="5" t="s">
        <v>13</v>
      </c>
    </row>
    <row r="19" spans="2:3" x14ac:dyDescent="0.2">
      <c r="B19" s="3" t="s">
        <v>14</v>
      </c>
    </row>
    <row r="20" spans="2:3" x14ac:dyDescent="0.2">
      <c r="B20" s="8" t="s">
        <v>15</v>
      </c>
      <c r="C20" s="5" t="s">
        <v>16</v>
      </c>
    </row>
    <row r="21" spans="2:3" x14ac:dyDescent="0.2">
      <c r="B21" s="5" t="s">
        <v>17</v>
      </c>
      <c r="C21" s="5" t="s">
        <v>18</v>
      </c>
    </row>
    <row r="22" spans="2:3" x14ac:dyDescent="0.2">
      <c r="B22" s="9" t="s">
        <v>19</v>
      </c>
      <c r="C22" s="5" t="s">
        <v>20</v>
      </c>
    </row>
    <row r="23" spans="2:3" x14ac:dyDescent="0.2">
      <c r="B23" s="10" t="s">
        <v>21</v>
      </c>
      <c r="C23" s="5" t="s">
        <v>22</v>
      </c>
    </row>
    <row r="25" spans="2:3" x14ac:dyDescent="0.2">
      <c r="B25" s="3" t="s">
        <v>23</v>
      </c>
    </row>
    <row r="26" spans="2:3" x14ac:dyDescent="0.2">
      <c r="B26" s="5" t="s">
        <v>24</v>
      </c>
    </row>
    <row r="27" spans="2:3" x14ac:dyDescent="0.2">
      <c r="B27" s="5" t="s">
        <v>25</v>
      </c>
    </row>
    <row r="28" spans="2:3" x14ac:dyDescent="0.2">
      <c r="B28" s="5" t="s">
        <v>26</v>
      </c>
    </row>
    <row r="29" spans="2:3" x14ac:dyDescent="0.2">
      <c r="B29" s="5" t="s">
        <v>27</v>
      </c>
    </row>
    <row r="30" spans="2:3" x14ac:dyDescent="0.2">
      <c r="B30" s="5" t="s">
        <v>28</v>
      </c>
    </row>
    <row r="32" spans="2:3" x14ac:dyDescent="0.2">
      <c r="B32" s="1" t="s">
        <v>29</v>
      </c>
    </row>
    <row r="34" spans="2:2" x14ac:dyDescent="0.2">
      <c r="B34" s="3" t="s">
        <v>30</v>
      </c>
    </row>
    <row r="35" spans="2:2" x14ac:dyDescent="0.2">
      <c r="B35" s="2" t="s">
        <v>31</v>
      </c>
    </row>
    <row r="37" spans="2:2" x14ac:dyDescent="0.2">
      <c r="B37" s="40" t="s">
        <v>32</v>
      </c>
    </row>
    <row r="38" spans="2:2" x14ac:dyDescent="0.2">
      <c r="B38" s="36"/>
    </row>
  </sheetData>
  <hyperlinks>
    <hyperlink ref="B4" r:id="rId1" xr:uid="{00000000-0004-0000-0000-000000000000}"/>
    <hyperlink ref="B35" r:id="rId2" xr:uid="{00000000-0004-0000-0000-000001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42" customWidth="1"/>
    <col min="2" max="8" width="12" customWidth="1"/>
  </cols>
  <sheetData>
    <row r="1" spans="1:8" ht="18" x14ac:dyDescent="0.2">
      <c r="A1" s="29" t="s">
        <v>33</v>
      </c>
    </row>
    <row r="2" spans="1:8" x14ac:dyDescent="0.2">
      <c r="A2" s="33" t="s">
        <v>34</v>
      </c>
    </row>
    <row r="4" spans="1:8" x14ac:dyDescent="0.2">
      <c r="A4" s="30" t="s">
        <v>35</v>
      </c>
      <c r="B4" s="31" t="s">
        <v>36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</row>
    <row r="5" spans="1:8" x14ac:dyDescent="0.2">
      <c r="A5" s="3" t="s">
        <v>43</v>
      </c>
      <c r="B5" s="32" t="s">
        <v>44</v>
      </c>
      <c r="C5" s="32" t="s">
        <v>44</v>
      </c>
      <c r="D5" s="32" t="s">
        <v>45</v>
      </c>
      <c r="E5" s="32" t="s">
        <v>45</v>
      </c>
      <c r="F5" s="32" t="s">
        <v>45</v>
      </c>
      <c r="G5" s="32" t="s">
        <v>45</v>
      </c>
      <c r="H5" s="32" t="s">
        <v>45</v>
      </c>
    </row>
    <row r="6" spans="1:8" x14ac:dyDescent="0.2">
      <c r="A6" s="12" t="s">
        <v>46</v>
      </c>
      <c r="B6" s="13"/>
      <c r="C6" s="14">
        <f>'Income Statement'!C6/'Income Statement'!B6-1</f>
        <v>0.5</v>
      </c>
      <c r="D6" s="15">
        <v>0.6</v>
      </c>
      <c r="E6" s="15">
        <v>0.45</v>
      </c>
      <c r="F6" s="15">
        <v>0.35</v>
      </c>
      <c r="G6" s="15">
        <v>0.28000000000000003</v>
      </c>
      <c r="H6" s="15">
        <v>0.22</v>
      </c>
    </row>
    <row r="7" spans="1:8" x14ac:dyDescent="0.2">
      <c r="A7" s="12" t="s">
        <v>47</v>
      </c>
      <c r="B7" s="14">
        <f>'Income Statement'!B8/'Income Statement'!B6</f>
        <v>0.7</v>
      </c>
      <c r="C7" s="14">
        <f>'Income Statement'!C8/'Income Statement'!C6</f>
        <v>0.72</v>
      </c>
      <c r="D7" s="15">
        <v>0.74</v>
      </c>
      <c r="E7" s="15">
        <v>0.75</v>
      </c>
      <c r="F7" s="15">
        <v>0.76</v>
      </c>
      <c r="G7" s="15">
        <v>0.77</v>
      </c>
      <c r="H7" s="15">
        <v>0.77</v>
      </c>
    </row>
    <row r="8" spans="1:8" x14ac:dyDescent="0.2">
      <c r="A8" s="12" t="s">
        <v>48</v>
      </c>
      <c r="B8" s="14">
        <f>'Income Statement'!B10/'Income Statement'!B6</f>
        <v>0.45833333333333331</v>
      </c>
      <c r="C8" s="14">
        <f>'Income Statement'!C10/'Income Statement'!C6</f>
        <v>0.3888888888888889</v>
      </c>
      <c r="D8" s="16">
        <v>0.56000000000000005</v>
      </c>
      <c r="E8" s="16">
        <v>0.48</v>
      </c>
      <c r="F8" s="16">
        <v>0.36</v>
      </c>
      <c r="G8" s="16">
        <v>0.3</v>
      </c>
      <c r="H8" s="16">
        <v>0.27</v>
      </c>
    </row>
    <row r="9" spans="1:8" x14ac:dyDescent="0.2">
      <c r="A9" s="12" t="s">
        <v>49</v>
      </c>
      <c r="B9" s="14">
        <f>'Income Statement'!B11/'Income Statement'!B6</f>
        <v>0.29166666666666669</v>
      </c>
      <c r="C9" s="14">
        <f>'Income Statement'!C11/'Income Statement'!C6</f>
        <v>0.2638888888888889</v>
      </c>
      <c r="D9" s="16">
        <v>0.32</v>
      </c>
      <c r="E9" s="16">
        <v>0.27</v>
      </c>
      <c r="F9" s="16">
        <v>0.22</v>
      </c>
      <c r="G9" s="16">
        <v>0.19</v>
      </c>
      <c r="H9" s="16">
        <v>0.17</v>
      </c>
    </row>
    <row r="10" spans="1:8" x14ac:dyDescent="0.2">
      <c r="A10" s="12" t="s">
        <v>50</v>
      </c>
      <c r="B10" s="14">
        <f>'Income Statement'!B12/'Income Statement'!B6</f>
        <v>0.20833333333333334</v>
      </c>
      <c r="C10" s="14">
        <f>'Income Statement'!C12/'Income Statement'!C6</f>
        <v>0.18055555555555555</v>
      </c>
      <c r="D10" s="16">
        <v>0.19</v>
      </c>
      <c r="E10" s="16">
        <v>0.16</v>
      </c>
      <c r="F10" s="16">
        <v>0.13</v>
      </c>
      <c r="G10" s="16">
        <v>0.12</v>
      </c>
      <c r="H10" s="16">
        <v>0.11</v>
      </c>
    </row>
    <row r="11" spans="1:8" x14ac:dyDescent="0.2">
      <c r="A11" s="12" t="s">
        <v>51</v>
      </c>
      <c r="B11" s="13"/>
      <c r="C11" s="14">
        <f>'Income Statement'!C16/'Balance Sheet'!B10</f>
        <v>0.27500000000000002</v>
      </c>
      <c r="D11" s="16">
        <v>0.25</v>
      </c>
      <c r="E11" s="16">
        <v>0.25</v>
      </c>
      <c r="F11" s="16">
        <v>0.25</v>
      </c>
      <c r="G11" s="16">
        <v>0.25</v>
      </c>
      <c r="H11" s="16">
        <v>0.25</v>
      </c>
    </row>
    <row r="12" spans="1:8" x14ac:dyDescent="0.2">
      <c r="A12" s="12" t="s">
        <v>52</v>
      </c>
      <c r="B12" s="13"/>
      <c r="C12" s="14">
        <f>('Balance Sheet'!C10-'Balance Sheet'!B10+'Income Statement'!C16)/'Income Statement'!C6</f>
        <v>3.3333333333333333E-2</v>
      </c>
      <c r="D12" s="16">
        <v>0.03</v>
      </c>
      <c r="E12" s="16">
        <v>0.03</v>
      </c>
      <c r="F12" s="16">
        <v>0.03</v>
      </c>
      <c r="G12" s="16">
        <v>0.03</v>
      </c>
      <c r="H12" s="16">
        <v>0.03</v>
      </c>
    </row>
    <row r="13" spans="1:8" x14ac:dyDescent="0.2">
      <c r="A13" s="12" t="s">
        <v>53</v>
      </c>
      <c r="D13" s="16">
        <v>0.25</v>
      </c>
      <c r="E13" s="16">
        <v>0.25</v>
      </c>
      <c r="F13" s="16">
        <v>0.25</v>
      </c>
      <c r="G13" s="16">
        <v>0.25</v>
      </c>
      <c r="H13" s="16">
        <v>0.25</v>
      </c>
    </row>
    <row r="15" spans="1:8" x14ac:dyDescent="0.2">
      <c r="A15" s="3" t="s">
        <v>54</v>
      </c>
    </row>
    <row r="16" spans="1:8" x14ac:dyDescent="0.2">
      <c r="A16" s="12" t="s">
        <v>55</v>
      </c>
      <c r="B16" s="17">
        <f>'Balance Sheet'!B7/'Income Statement'!B6*365</f>
        <v>45.016666666666666</v>
      </c>
      <c r="C16" s="17">
        <f>'Balance Sheet'!C7/'Income Statement'!C6*365</f>
        <v>45.016666666666666</v>
      </c>
      <c r="D16" s="18">
        <v>45</v>
      </c>
      <c r="E16" s="18">
        <v>45</v>
      </c>
      <c r="F16" s="18">
        <v>45</v>
      </c>
      <c r="G16" s="18">
        <v>45</v>
      </c>
      <c r="H16" s="18">
        <v>45</v>
      </c>
    </row>
    <row r="17" spans="1:8" x14ac:dyDescent="0.2">
      <c r="A17" s="12" t="s">
        <v>56</v>
      </c>
      <c r="B17" s="17">
        <f>IFERROR('Balance Sheet'!B8/'Income Statement'!B7*365,0)</f>
        <v>0</v>
      </c>
      <c r="C17" s="17">
        <f>IFERROR('Balance Sheet'!C8/'Income Statement'!C7*365,0)</f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x14ac:dyDescent="0.2">
      <c r="A18" s="12" t="s">
        <v>57</v>
      </c>
      <c r="B18" s="17">
        <f>'Balance Sheet'!B13/'Income Statement'!B7*365</f>
        <v>29.909722222222221</v>
      </c>
      <c r="C18" s="17">
        <f>'Balance Sheet'!C13/'Income Statement'!C7*365</f>
        <v>30.05456349206349</v>
      </c>
      <c r="D18" s="18">
        <v>30</v>
      </c>
      <c r="E18" s="18">
        <v>30</v>
      </c>
      <c r="F18" s="18">
        <v>30</v>
      </c>
      <c r="G18" s="18">
        <v>30</v>
      </c>
      <c r="H18" s="18">
        <v>30</v>
      </c>
    </row>
    <row r="19" spans="1:8" x14ac:dyDescent="0.2">
      <c r="A19" s="12" t="s">
        <v>58</v>
      </c>
      <c r="B19" s="14">
        <f>'Balance Sheet'!B14/'Income Statement'!B6</f>
        <v>0.15</v>
      </c>
      <c r="C19" s="14">
        <f>'Balance Sheet'!C14/'Income Statement'!C6</f>
        <v>0.15</v>
      </c>
      <c r="D19" s="16">
        <v>0.15</v>
      </c>
      <c r="E19" s="16">
        <v>0.15</v>
      </c>
      <c r="F19" s="16">
        <v>0.15</v>
      </c>
      <c r="G19" s="16">
        <v>0.15</v>
      </c>
      <c r="H19" s="16">
        <v>0.15</v>
      </c>
    </row>
    <row r="21" spans="1:8" x14ac:dyDescent="0.2">
      <c r="A21" s="3" t="s">
        <v>59</v>
      </c>
    </row>
    <row r="22" spans="1:8" x14ac:dyDescent="0.2">
      <c r="A22" s="12" t="s">
        <v>60</v>
      </c>
      <c r="B22" s="13"/>
      <c r="C22" s="19">
        <f>'Balance Sheet'!C16-'Balance Sheet'!B16</f>
        <v>0</v>
      </c>
      <c r="D22" s="20">
        <v>0</v>
      </c>
      <c r="E22" s="20">
        <v>-100</v>
      </c>
      <c r="F22" s="20">
        <v>-100</v>
      </c>
      <c r="G22" s="20">
        <v>-100</v>
      </c>
      <c r="H22" s="20">
        <v>-100</v>
      </c>
    </row>
    <row r="23" spans="1:8" x14ac:dyDescent="0.2">
      <c r="A23" s="12" t="s">
        <v>61</v>
      </c>
      <c r="B23" s="13"/>
      <c r="C23" s="14">
        <f>'Income Statement'!C18/'Balance Sheet'!B16</f>
        <v>0.09</v>
      </c>
      <c r="D23" s="16">
        <v>0.09</v>
      </c>
      <c r="E23" s="16">
        <v>0.09</v>
      </c>
      <c r="F23" s="16">
        <v>0.09</v>
      </c>
      <c r="G23" s="16">
        <v>0.09</v>
      </c>
      <c r="H23" s="16">
        <v>0.09</v>
      </c>
    </row>
    <row r="24" spans="1:8" x14ac:dyDescent="0.2">
      <c r="A24" s="12" t="s">
        <v>62</v>
      </c>
      <c r="B24" s="13"/>
      <c r="C24" s="19">
        <f>'Balance Sheet'!C19-'Balance Sheet'!B19</f>
        <v>2000</v>
      </c>
      <c r="D24" s="21">
        <v>4000</v>
      </c>
      <c r="E24" s="21">
        <v>0</v>
      </c>
      <c r="F24" s="21">
        <v>0</v>
      </c>
      <c r="G24" s="21">
        <v>0</v>
      </c>
      <c r="H24" s="21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42" customWidth="1"/>
    <col min="2" max="8" width="12" customWidth="1"/>
  </cols>
  <sheetData>
    <row r="1" spans="1:8" ht="18" x14ac:dyDescent="0.2">
      <c r="A1" s="29" t="s">
        <v>63</v>
      </c>
    </row>
    <row r="2" spans="1:8" x14ac:dyDescent="0.2">
      <c r="A2" s="33" t="s">
        <v>64</v>
      </c>
    </row>
    <row r="4" spans="1:8" x14ac:dyDescent="0.2">
      <c r="A4" s="30" t="s">
        <v>35</v>
      </c>
      <c r="B4" s="31" t="s">
        <v>36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</row>
    <row r="5" spans="1:8" x14ac:dyDescent="0.2">
      <c r="B5" s="32" t="s">
        <v>44</v>
      </c>
      <c r="C5" s="32" t="s">
        <v>44</v>
      </c>
      <c r="D5" s="32" t="s">
        <v>45</v>
      </c>
      <c r="E5" s="32" t="s">
        <v>45</v>
      </c>
      <c r="F5" s="32" t="s">
        <v>45</v>
      </c>
      <c r="G5" s="32" t="s">
        <v>45</v>
      </c>
      <c r="H5" s="32" t="s">
        <v>45</v>
      </c>
    </row>
    <row r="6" spans="1:8" x14ac:dyDescent="0.2">
      <c r="A6" s="3" t="s">
        <v>65</v>
      </c>
      <c r="B6" s="20">
        <v>2400</v>
      </c>
      <c r="C6" s="20">
        <v>3600</v>
      </c>
      <c r="D6" s="22">
        <f>C6*(1+Assumptions!D6)</f>
        <v>5760</v>
      </c>
      <c r="E6" s="22">
        <f>D6*(1+Assumptions!E6)</f>
        <v>8352</v>
      </c>
      <c r="F6" s="22">
        <f>E6*(1+Assumptions!F6)</f>
        <v>11275.2</v>
      </c>
      <c r="G6" s="22">
        <f>F6*(1+Assumptions!G6)</f>
        <v>14432.256000000001</v>
      </c>
      <c r="H6" s="22">
        <f>G6*(1+Assumptions!H6)</f>
        <v>17607.352320000002</v>
      </c>
    </row>
    <row r="7" spans="1:8" x14ac:dyDescent="0.2">
      <c r="A7" s="12" t="s">
        <v>66</v>
      </c>
      <c r="B7" s="20">
        <v>720</v>
      </c>
      <c r="C7" s="20">
        <v>1008</v>
      </c>
      <c r="D7" s="22">
        <f>D6*(1-Assumptions!D7)</f>
        <v>1497.6000000000001</v>
      </c>
      <c r="E7" s="22">
        <f>E6*(1-Assumptions!E7)</f>
        <v>2088</v>
      </c>
      <c r="F7" s="22">
        <f>F6*(1-Assumptions!F7)</f>
        <v>2706.0480000000002</v>
      </c>
      <c r="G7" s="22">
        <f>G6*(1-Assumptions!G7)</f>
        <v>3319.4188800000002</v>
      </c>
      <c r="H7" s="22">
        <f>H6*(1-Assumptions!H7)</f>
        <v>4049.6910336000001</v>
      </c>
    </row>
    <row r="8" spans="1:8" x14ac:dyDescent="0.2">
      <c r="A8" s="23" t="s">
        <v>67</v>
      </c>
      <c r="B8" s="24">
        <f t="shared" ref="B8:H8" si="0">B6-B7</f>
        <v>1680</v>
      </c>
      <c r="C8" s="24">
        <f t="shared" si="0"/>
        <v>2592</v>
      </c>
      <c r="D8" s="24">
        <f t="shared" si="0"/>
        <v>4262.3999999999996</v>
      </c>
      <c r="E8" s="24">
        <f t="shared" si="0"/>
        <v>6264</v>
      </c>
      <c r="F8" s="24">
        <f t="shared" si="0"/>
        <v>8569.152</v>
      </c>
      <c r="G8" s="24">
        <f t="shared" si="0"/>
        <v>11112.83712</v>
      </c>
      <c r="H8" s="24">
        <f t="shared" si="0"/>
        <v>13557.661286400002</v>
      </c>
    </row>
    <row r="9" spans="1:8" x14ac:dyDescent="0.2">
      <c r="A9" s="1" t="s">
        <v>68</v>
      </c>
    </row>
    <row r="10" spans="1:8" x14ac:dyDescent="0.2">
      <c r="A10" s="12" t="s">
        <v>69</v>
      </c>
      <c r="B10" s="20">
        <v>1100</v>
      </c>
      <c r="C10" s="20">
        <v>1400</v>
      </c>
      <c r="D10" s="22">
        <f>D6*Assumptions!D8</f>
        <v>3225.6000000000004</v>
      </c>
      <c r="E10" s="22">
        <f>E6*Assumptions!E8</f>
        <v>4008.96</v>
      </c>
      <c r="F10" s="22">
        <f>F6*Assumptions!F8</f>
        <v>4059.0720000000001</v>
      </c>
      <c r="G10" s="22">
        <f>G6*Assumptions!G8</f>
        <v>4329.6768000000002</v>
      </c>
      <c r="H10" s="22">
        <f>H6*Assumptions!H8</f>
        <v>4753.9851264000008</v>
      </c>
    </row>
    <row r="11" spans="1:8" x14ac:dyDescent="0.2">
      <c r="A11" s="12" t="s">
        <v>70</v>
      </c>
      <c r="B11" s="20">
        <v>700</v>
      </c>
      <c r="C11" s="20">
        <v>950</v>
      </c>
      <c r="D11" s="22">
        <f>D6*Assumptions!D9</f>
        <v>1843.2</v>
      </c>
      <c r="E11" s="22">
        <f>E6*Assumptions!E9</f>
        <v>2255.04</v>
      </c>
      <c r="F11" s="22">
        <f>F6*Assumptions!F9</f>
        <v>2480.5440000000003</v>
      </c>
      <c r="G11" s="22">
        <f>G6*Assumptions!G9</f>
        <v>2742.1286400000004</v>
      </c>
      <c r="H11" s="22">
        <f>H6*Assumptions!H9</f>
        <v>2993.2498944000004</v>
      </c>
    </row>
    <row r="12" spans="1:8" x14ac:dyDescent="0.2">
      <c r="A12" s="12" t="s">
        <v>71</v>
      </c>
      <c r="B12" s="20">
        <v>500</v>
      </c>
      <c r="C12" s="20">
        <v>650</v>
      </c>
      <c r="D12" s="22">
        <f>D6*Assumptions!D10</f>
        <v>1094.4000000000001</v>
      </c>
      <c r="E12" s="22">
        <f>E6*Assumptions!E10</f>
        <v>1336.32</v>
      </c>
      <c r="F12" s="22">
        <f>F6*Assumptions!F10</f>
        <v>1465.7760000000001</v>
      </c>
      <c r="G12" s="22">
        <f>G6*Assumptions!G10</f>
        <v>1731.8707200000001</v>
      </c>
      <c r="H12" s="22">
        <f>H6*Assumptions!H10</f>
        <v>1936.8087552000002</v>
      </c>
    </row>
    <row r="13" spans="1:8" x14ac:dyDescent="0.2">
      <c r="A13" s="23" t="s">
        <v>72</v>
      </c>
      <c r="B13" s="24">
        <f t="shared" ref="B13:H13" si="1">SUM(B10:B12)</f>
        <v>2300</v>
      </c>
      <c r="C13" s="24">
        <f t="shared" si="1"/>
        <v>3000</v>
      </c>
      <c r="D13" s="24">
        <f t="shared" si="1"/>
        <v>6163.2000000000007</v>
      </c>
      <c r="E13" s="24">
        <f t="shared" si="1"/>
        <v>7600.32</v>
      </c>
      <c r="F13" s="24">
        <f t="shared" si="1"/>
        <v>8005.3919999999998</v>
      </c>
      <c r="G13" s="24">
        <f t="shared" si="1"/>
        <v>8803.6761600000009</v>
      </c>
      <c r="H13" s="24">
        <f t="shared" si="1"/>
        <v>9684.0437760000004</v>
      </c>
    </row>
    <row r="15" spans="1:8" x14ac:dyDescent="0.2">
      <c r="A15" s="23" t="s">
        <v>73</v>
      </c>
      <c r="B15" s="24">
        <f t="shared" ref="B15:H15" si="2">B8-B13</f>
        <v>-620</v>
      </c>
      <c r="C15" s="24">
        <f t="shared" si="2"/>
        <v>-408</v>
      </c>
      <c r="D15" s="24">
        <f t="shared" si="2"/>
        <v>-1900.8000000000011</v>
      </c>
      <c r="E15" s="24">
        <f t="shared" si="2"/>
        <v>-1336.3199999999997</v>
      </c>
      <c r="F15" s="24">
        <f t="shared" si="2"/>
        <v>563.76000000000022</v>
      </c>
      <c r="G15" s="24">
        <f t="shared" si="2"/>
        <v>2309.1609599999992</v>
      </c>
      <c r="H15" s="24">
        <f t="shared" si="2"/>
        <v>3873.6175104000013</v>
      </c>
    </row>
    <row r="16" spans="1:8" x14ac:dyDescent="0.2">
      <c r="A16" s="12" t="s">
        <v>74</v>
      </c>
      <c r="B16" s="20">
        <v>40</v>
      </c>
      <c r="C16" s="20">
        <v>55</v>
      </c>
      <c r="D16" s="22">
        <f>'Balance Sheet'!C10*Assumptions!D11</f>
        <v>66.25</v>
      </c>
      <c r="E16" s="22">
        <f>'Balance Sheet'!D10*Assumptions!E11</f>
        <v>92.887499999999989</v>
      </c>
      <c r="F16" s="22">
        <f>'Balance Sheet'!E10*Assumptions!F11</f>
        <v>132.30562499999996</v>
      </c>
      <c r="G16" s="22">
        <f>'Balance Sheet'!F10*Assumptions!G11</f>
        <v>183.79321874999999</v>
      </c>
      <c r="H16" s="22">
        <f>'Balance Sheet'!G10*Assumptions!H11</f>
        <v>246.08683406249997</v>
      </c>
    </row>
    <row r="17" spans="1:8" x14ac:dyDescent="0.2">
      <c r="A17" s="23" t="s">
        <v>75</v>
      </c>
      <c r="B17" s="24">
        <f t="shared" ref="B17:H17" si="3">B15-B16</f>
        <v>-660</v>
      </c>
      <c r="C17" s="24">
        <f t="shared" si="3"/>
        <v>-463</v>
      </c>
      <c r="D17" s="24">
        <f t="shared" si="3"/>
        <v>-1967.0500000000011</v>
      </c>
      <c r="E17" s="24">
        <f t="shared" si="3"/>
        <v>-1429.2074999999998</v>
      </c>
      <c r="F17" s="24">
        <f t="shared" si="3"/>
        <v>431.45437500000025</v>
      </c>
      <c r="G17" s="24">
        <f t="shared" si="3"/>
        <v>2125.3677412499992</v>
      </c>
      <c r="H17" s="24">
        <f t="shared" si="3"/>
        <v>3627.5306763375011</v>
      </c>
    </row>
    <row r="18" spans="1:8" x14ac:dyDescent="0.2">
      <c r="A18" s="12" t="s">
        <v>76</v>
      </c>
      <c r="B18" s="20">
        <v>45</v>
      </c>
      <c r="C18" s="20">
        <v>45</v>
      </c>
      <c r="D18" s="22">
        <f>'Balance Sheet'!C16*Assumptions!D23</f>
        <v>45</v>
      </c>
      <c r="E18" s="22">
        <f>'Balance Sheet'!D16*Assumptions!E23</f>
        <v>45</v>
      </c>
      <c r="F18" s="22">
        <f>'Balance Sheet'!E16*Assumptions!F23</f>
        <v>36</v>
      </c>
      <c r="G18" s="22">
        <f>'Balance Sheet'!F16*Assumptions!G23</f>
        <v>27</v>
      </c>
      <c r="H18" s="22">
        <f>'Balance Sheet'!G16*Assumptions!H23</f>
        <v>18</v>
      </c>
    </row>
    <row r="19" spans="1:8" x14ac:dyDescent="0.2">
      <c r="A19" s="23" t="s">
        <v>77</v>
      </c>
      <c r="B19" s="24">
        <f t="shared" ref="B19:H19" si="4">B17-B18</f>
        <v>-705</v>
      </c>
      <c r="C19" s="24">
        <f t="shared" si="4"/>
        <v>-508</v>
      </c>
      <c r="D19" s="24">
        <f t="shared" si="4"/>
        <v>-2012.0500000000011</v>
      </c>
      <c r="E19" s="24">
        <f t="shared" si="4"/>
        <v>-1474.2074999999998</v>
      </c>
      <c r="F19" s="24">
        <f t="shared" si="4"/>
        <v>395.45437500000025</v>
      </c>
      <c r="G19" s="24">
        <f t="shared" si="4"/>
        <v>2098.3677412499992</v>
      </c>
      <c r="H19" s="24">
        <f t="shared" si="4"/>
        <v>3609.5306763375011</v>
      </c>
    </row>
    <row r="20" spans="1:8" x14ac:dyDescent="0.2">
      <c r="A20" s="12" t="s">
        <v>78</v>
      </c>
      <c r="B20" s="20">
        <v>0</v>
      </c>
      <c r="C20" s="20">
        <v>0</v>
      </c>
      <c r="D20" s="22">
        <f>MAX(0,D19*Assumptions!D13)</f>
        <v>0</v>
      </c>
      <c r="E20" s="22">
        <f>MAX(0,E19*Assumptions!E13)</f>
        <v>0</v>
      </c>
      <c r="F20" s="22">
        <f>MAX(0,F19*Assumptions!F13)</f>
        <v>98.863593750000064</v>
      </c>
      <c r="G20" s="22">
        <f>MAX(0,G19*Assumptions!G13)</f>
        <v>524.5919353124998</v>
      </c>
      <c r="H20" s="22">
        <f>MAX(0,H19*Assumptions!H13)</f>
        <v>902.38266908437527</v>
      </c>
    </row>
    <row r="21" spans="1:8" x14ac:dyDescent="0.2">
      <c r="A21" s="23" t="s">
        <v>79</v>
      </c>
      <c r="B21" s="24">
        <f t="shared" ref="B21:H21" si="5">B19-B20</f>
        <v>-705</v>
      </c>
      <c r="C21" s="24">
        <f t="shared" si="5"/>
        <v>-508</v>
      </c>
      <c r="D21" s="24">
        <f t="shared" si="5"/>
        <v>-2012.0500000000011</v>
      </c>
      <c r="E21" s="24">
        <f t="shared" si="5"/>
        <v>-1474.2074999999998</v>
      </c>
      <c r="F21" s="24">
        <f t="shared" si="5"/>
        <v>296.59078125000019</v>
      </c>
      <c r="G21" s="24">
        <f t="shared" si="5"/>
        <v>1573.7758059374994</v>
      </c>
      <c r="H21" s="24">
        <f t="shared" si="5"/>
        <v>2707.1480072531258</v>
      </c>
    </row>
    <row r="22" spans="1:8" x14ac:dyDescent="0.2">
      <c r="A22" s="1" t="s">
        <v>80</v>
      </c>
    </row>
    <row r="23" spans="1:8" x14ac:dyDescent="0.2">
      <c r="A23" s="12" t="s">
        <v>47</v>
      </c>
      <c r="B23" s="25">
        <f t="shared" ref="B23:H23" si="6">IFERROR(B8/B6,0)</f>
        <v>0.7</v>
      </c>
      <c r="C23" s="25">
        <f t="shared" si="6"/>
        <v>0.72</v>
      </c>
      <c r="D23" s="25">
        <f t="shared" si="6"/>
        <v>0.74</v>
      </c>
      <c r="E23" s="25">
        <f t="shared" si="6"/>
        <v>0.75</v>
      </c>
      <c r="F23" s="25">
        <f t="shared" si="6"/>
        <v>0.76</v>
      </c>
      <c r="G23" s="25">
        <f t="shared" si="6"/>
        <v>0.76999999999999991</v>
      </c>
      <c r="H23" s="25">
        <f t="shared" si="6"/>
        <v>0.77</v>
      </c>
    </row>
    <row r="24" spans="1:8" x14ac:dyDescent="0.2">
      <c r="A24" s="12" t="s">
        <v>81</v>
      </c>
      <c r="B24" s="25">
        <f t="shared" ref="B24:H24" si="7">IFERROR(B15/B6,0)</f>
        <v>-0.25833333333333336</v>
      </c>
      <c r="C24" s="25">
        <f t="shared" si="7"/>
        <v>-0.11333333333333333</v>
      </c>
      <c r="D24" s="25">
        <f t="shared" si="7"/>
        <v>-0.33000000000000018</v>
      </c>
      <c r="E24" s="25">
        <f t="shared" si="7"/>
        <v>-0.15999999999999998</v>
      </c>
      <c r="F24" s="25">
        <f t="shared" si="7"/>
        <v>5.0000000000000017E-2</v>
      </c>
      <c r="G24" s="25">
        <f t="shared" si="7"/>
        <v>0.15999999999999995</v>
      </c>
      <c r="H24" s="25">
        <f t="shared" si="7"/>
        <v>0.22000000000000006</v>
      </c>
    </row>
    <row r="25" spans="1:8" x14ac:dyDescent="0.2">
      <c r="A25" s="12" t="s">
        <v>82</v>
      </c>
      <c r="B25" s="25">
        <f t="shared" ref="B25:H25" si="8">IFERROR(B21/B6,0)</f>
        <v>-0.29375000000000001</v>
      </c>
      <c r="C25" s="25">
        <f t="shared" si="8"/>
        <v>-0.1411111111111111</v>
      </c>
      <c r="D25" s="25">
        <f t="shared" si="8"/>
        <v>-0.34931423611111129</v>
      </c>
      <c r="E25" s="25">
        <f t="shared" si="8"/>
        <v>-0.17650951867816089</v>
      </c>
      <c r="F25" s="25">
        <f t="shared" si="8"/>
        <v>2.6304702466475111E-2</v>
      </c>
      <c r="G25" s="25">
        <f t="shared" si="8"/>
        <v>0.10904572410145021</v>
      </c>
      <c r="H25" s="25">
        <f t="shared" si="8"/>
        <v>0.15375099890391275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42" customWidth="1"/>
    <col min="2" max="8" width="12" customWidth="1"/>
  </cols>
  <sheetData>
    <row r="1" spans="1:8" ht="18" x14ac:dyDescent="0.2">
      <c r="A1" s="29" t="s">
        <v>83</v>
      </c>
    </row>
    <row r="2" spans="1:8" x14ac:dyDescent="0.2">
      <c r="A2" s="33" t="s">
        <v>84</v>
      </c>
    </row>
    <row r="4" spans="1:8" x14ac:dyDescent="0.2">
      <c r="A4" s="30" t="s">
        <v>35</v>
      </c>
      <c r="B4" s="31" t="s">
        <v>36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</row>
    <row r="5" spans="1:8" x14ac:dyDescent="0.2">
      <c r="B5" s="32" t="s">
        <v>44</v>
      </c>
      <c r="C5" s="32" t="s">
        <v>44</v>
      </c>
      <c r="D5" s="32" t="s">
        <v>45</v>
      </c>
      <c r="E5" s="32" t="s">
        <v>45</v>
      </c>
      <c r="F5" s="32" t="s">
        <v>45</v>
      </c>
      <c r="G5" s="32" t="s">
        <v>45</v>
      </c>
      <c r="H5" s="32" t="s">
        <v>45</v>
      </c>
    </row>
    <row r="6" spans="1:8" x14ac:dyDescent="0.2">
      <c r="A6" s="12" t="s">
        <v>85</v>
      </c>
      <c r="B6" s="20">
        <v>1800</v>
      </c>
      <c r="C6" s="20">
        <v>3283</v>
      </c>
      <c r="D6" s="22">
        <f>'Cash Flow'!D23</f>
        <v>5262.3534246575337</v>
      </c>
      <c r="E6" s="22">
        <f>'Cash Flow'!E23</f>
        <v>3648.2378082191781</v>
      </c>
      <c r="F6" s="22">
        <f>'Cash Flow'!F23</f>
        <v>3767.7621596746576</v>
      </c>
      <c r="G6" s="22">
        <f>'Cash Flow'!G23</f>
        <v>5127.1098671018835</v>
      </c>
      <c r="H6" s="22">
        <f>'Cash Flow'!H23</f>
        <v>7596.9607243736737</v>
      </c>
    </row>
    <row r="7" spans="1:8" x14ac:dyDescent="0.2">
      <c r="A7" s="12" t="s">
        <v>86</v>
      </c>
      <c r="B7" s="20">
        <v>296</v>
      </c>
      <c r="C7" s="20">
        <v>444</v>
      </c>
      <c r="D7" s="22">
        <f>'Income Statement'!D6*Assumptions!D16/365</f>
        <v>710.13698630136992</v>
      </c>
      <c r="E7" s="22">
        <f>'Income Statement'!E6*Assumptions!E16/365</f>
        <v>1029.6986301369864</v>
      </c>
      <c r="F7" s="22">
        <f>'Income Statement'!F6*Assumptions!F16/365</f>
        <v>1390.0931506849317</v>
      </c>
      <c r="G7" s="22">
        <f>'Income Statement'!G6*Assumptions!G16/365</f>
        <v>1779.3192328767125</v>
      </c>
      <c r="H7" s="22">
        <f>'Income Statement'!H6*Assumptions!H16/365</f>
        <v>2170.7694641095891</v>
      </c>
    </row>
    <row r="8" spans="1:8" x14ac:dyDescent="0.2">
      <c r="A8" s="12" t="s">
        <v>87</v>
      </c>
      <c r="B8" s="20">
        <v>0</v>
      </c>
      <c r="C8" s="20">
        <v>0</v>
      </c>
      <c r="D8" s="22">
        <f>'Income Statement'!D7*Assumptions!D17/365</f>
        <v>0</v>
      </c>
      <c r="E8" s="22">
        <f>'Income Statement'!E7*Assumptions!E17/365</f>
        <v>0</v>
      </c>
      <c r="F8" s="22">
        <f>'Income Statement'!F7*Assumptions!F17/365</f>
        <v>0</v>
      </c>
      <c r="G8" s="22">
        <f>'Income Statement'!G7*Assumptions!G17/365</f>
        <v>0</v>
      </c>
      <c r="H8" s="22">
        <f>'Income Statement'!H7*Assumptions!H17/365</f>
        <v>0</v>
      </c>
    </row>
    <row r="9" spans="1:8" x14ac:dyDescent="0.2">
      <c r="A9" s="23" t="s">
        <v>88</v>
      </c>
      <c r="B9" s="24">
        <f t="shared" ref="B9:H9" si="0">SUM(B6:B8)</f>
        <v>2096</v>
      </c>
      <c r="C9" s="24">
        <f t="shared" si="0"/>
        <v>3727</v>
      </c>
      <c r="D9" s="24">
        <f t="shared" si="0"/>
        <v>5972.4904109589033</v>
      </c>
      <c r="E9" s="24">
        <f t="shared" si="0"/>
        <v>4677.9364383561642</v>
      </c>
      <c r="F9" s="24">
        <f t="shared" si="0"/>
        <v>5157.8553103595896</v>
      </c>
      <c r="G9" s="24">
        <f t="shared" si="0"/>
        <v>6906.4290999785962</v>
      </c>
      <c r="H9" s="24">
        <f t="shared" si="0"/>
        <v>9767.7301884832632</v>
      </c>
    </row>
    <row r="10" spans="1:8" x14ac:dyDescent="0.2">
      <c r="A10" s="12" t="s">
        <v>89</v>
      </c>
      <c r="B10" s="20">
        <v>200</v>
      </c>
      <c r="C10" s="20">
        <v>265</v>
      </c>
      <c r="D10" s="22">
        <f>C10-'Cash Flow'!D14-'Income Statement'!D16</f>
        <v>371.54999999999995</v>
      </c>
      <c r="E10" s="22">
        <f>D10-'Cash Flow'!E14-'Income Statement'!E16</f>
        <v>529.22249999999985</v>
      </c>
      <c r="F10" s="22">
        <f>E10-'Cash Flow'!F14-'Income Statement'!F16</f>
        <v>735.17287499999998</v>
      </c>
      <c r="G10" s="22">
        <f>F10-'Cash Flow'!G14-'Income Statement'!G16</f>
        <v>984.3473362499999</v>
      </c>
      <c r="H10" s="22">
        <f>G10-'Cash Flow'!H14-'Income Statement'!H16</f>
        <v>1266.4810717875</v>
      </c>
    </row>
    <row r="11" spans="1:8" x14ac:dyDescent="0.2">
      <c r="A11" s="23" t="s">
        <v>90</v>
      </c>
      <c r="B11" s="24">
        <f t="shared" ref="B11:H11" si="1">B9+B10</f>
        <v>2296</v>
      </c>
      <c r="C11" s="24">
        <f t="shared" si="1"/>
        <v>3992</v>
      </c>
      <c r="D11" s="24">
        <f t="shared" si="1"/>
        <v>6344.0404109589035</v>
      </c>
      <c r="E11" s="24">
        <f t="shared" si="1"/>
        <v>5207.1589383561641</v>
      </c>
      <c r="F11" s="24">
        <f t="shared" si="1"/>
        <v>5893.0281853595898</v>
      </c>
      <c r="G11" s="24">
        <f t="shared" si="1"/>
        <v>7890.7764362285961</v>
      </c>
      <c r="H11" s="24">
        <f t="shared" si="1"/>
        <v>11034.211260270764</v>
      </c>
    </row>
    <row r="12" spans="1:8" x14ac:dyDescent="0.2">
      <c r="A12" s="1" t="s">
        <v>91</v>
      </c>
    </row>
    <row r="13" spans="1:8" x14ac:dyDescent="0.2">
      <c r="A13" s="12" t="s">
        <v>92</v>
      </c>
      <c r="B13" s="20">
        <v>59</v>
      </c>
      <c r="C13" s="20">
        <v>83</v>
      </c>
      <c r="D13" s="22">
        <f>'Income Statement'!D7*Assumptions!D18/365</f>
        <v>123.09041095890413</v>
      </c>
      <c r="E13" s="22">
        <f>'Income Statement'!E7*Assumptions!E18/365</f>
        <v>171.61643835616439</v>
      </c>
      <c r="F13" s="22">
        <f>'Income Statement'!F7*Assumptions!F18/365</f>
        <v>222.41490410958906</v>
      </c>
      <c r="G13" s="22">
        <f>'Income Statement'!G7*Assumptions!G18/365</f>
        <v>272.82894904109594</v>
      </c>
      <c r="H13" s="22">
        <f>'Income Statement'!H7*Assumptions!H18/365</f>
        <v>332.85131783013702</v>
      </c>
    </row>
    <row r="14" spans="1:8" x14ac:dyDescent="0.2">
      <c r="A14" s="12" t="s">
        <v>93</v>
      </c>
      <c r="B14" s="20">
        <v>360</v>
      </c>
      <c r="C14" s="20">
        <v>540</v>
      </c>
      <c r="D14" s="22">
        <f>'Income Statement'!D6*Assumptions!D19</f>
        <v>864</v>
      </c>
      <c r="E14" s="22">
        <f>'Income Statement'!E6*Assumptions!E19</f>
        <v>1252.8</v>
      </c>
      <c r="F14" s="22">
        <f>'Income Statement'!F6*Assumptions!F19</f>
        <v>1691.28</v>
      </c>
      <c r="G14" s="22">
        <f>'Income Statement'!G6*Assumptions!G19</f>
        <v>2164.8384000000001</v>
      </c>
      <c r="H14" s="22">
        <f>'Income Statement'!H6*Assumptions!H19</f>
        <v>2641.102848</v>
      </c>
    </row>
    <row r="15" spans="1:8" x14ac:dyDescent="0.2">
      <c r="A15" s="23" t="s">
        <v>94</v>
      </c>
      <c r="B15" s="24">
        <f t="shared" ref="B15:H15" si="2">B13+B14</f>
        <v>419</v>
      </c>
      <c r="C15" s="24">
        <f t="shared" si="2"/>
        <v>623</v>
      </c>
      <c r="D15" s="24">
        <f t="shared" si="2"/>
        <v>987.09041095890416</v>
      </c>
      <c r="E15" s="24">
        <f t="shared" si="2"/>
        <v>1424.4164383561642</v>
      </c>
      <c r="F15" s="24">
        <f t="shared" si="2"/>
        <v>1913.6949041095891</v>
      </c>
      <c r="G15" s="24">
        <f t="shared" si="2"/>
        <v>2437.6673490410958</v>
      </c>
      <c r="H15" s="24">
        <f t="shared" si="2"/>
        <v>2973.9541658301368</v>
      </c>
    </row>
    <row r="16" spans="1:8" x14ac:dyDescent="0.2">
      <c r="A16" s="12" t="s">
        <v>95</v>
      </c>
      <c r="B16" s="20">
        <v>500</v>
      </c>
      <c r="C16" s="20">
        <v>500</v>
      </c>
      <c r="D16" s="22">
        <f>C16+Assumptions!D22</f>
        <v>500</v>
      </c>
      <c r="E16" s="22">
        <f>D16+Assumptions!E22</f>
        <v>400</v>
      </c>
      <c r="F16" s="22">
        <f>E16+Assumptions!F22</f>
        <v>300</v>
      </c>
      <c r="G16" s="22">
        <f>F16+Assumptions!G22</f>
        <v>200</v>
      </c>
      <c r="H16" s="22">
        <f>G16+Assumptions!H22</f>
        <v>100</v>
      </c>
    </row>
    <row r="17" spans="1:8" x14ac:dyDescent="0.2">
      <c r="A17" s="23" t="s">
        <v>96</v>
      </c>
      <c r="B17" s="24">
        <f t="shared" ref="B17:H17" si="3">B15+B16</f>
        <v>919</v>
      </c>
      <c r="C17" s="24">
        <f t="shared" si="3"/>
        <v>1123</v>
      </c>
      <c r="D17" s="24">
        <f t="shared" si="3"/>
        <v>1487.0904109589042</v>
      </c>
      <c r="E17" s="24">
        <f t="shared" si="3"/>
        <v>1824.4164383561642</v>
      </c>
      <c r="F17" s="24">
        <f t="shared" si="3"/>
        <v>2213.6949041095891</v>
      </c>
      <c r="G17" s="24">
        <f t="shared" si="3"/>
        <v>2637.6673490410958</v>
      </c>
      <c r="H17" s="24">
        <f t="shared" si="3"/>
        <v>3073.9541658301368</v>
      </c>
    </row>
    <row r="18" spans="1:8" x14ac:dyDescent="0.2">
      <c r="A18" s="1" t="s">
        <v>97</v>
      </c>
    </row>
    <row r="19" spans="1:8" x14ac:dyDescent="0.2">
      <c r="A19" s="12" t="s">
        <v>98</v>
      </c>
      <c r="B19" s="20">
        <v>4000</v>
      </c>
      <c r="C19" s="20">
        <v>6000</v>
      </c>
      <c r="D19" s="22">
        <f>C19+Assumptions!D24</f>
        <v>10000</v>
      </c>
      <c r="E19" s="22">
        <f>D19+Assumptions!E24</f>
        <v>10000</v>
      </c>
      <c r="F19" s="22">
        <f>E19+Assumptions!F24</f>
        <v>10000</v>
      </c>
      <c r="G19" s="22">
        <f>F19+Assumptions!G24</f>
        <v>10000</v>
      </c>
      <c r="H19" s="22">
        <f>G19+Assumptions!H24</f>
        <v>10000</v>
      </c>
    </row>
    <row r="20" spans="1:8" x14ac:dyDescent="0.2">
      <c r="A20" s="12" t="s">
        <v>99</v>
      </c>
      <c r="B20" s="20">
        <v>-2623</v>
      </c>
      <c r="C20" s="20">
        <v>-3131</v>
      </c>
      <c r="D20" s="22">
        <f>C20+'Income Statement'!D21</f>
        <v>-5143.0500000000011</v>
      </c>
      <c r="E20" s="22">
        <f>D20+'Income Statement'!E21</f>
        <v>-6617.2575000000006</v>
      </c>
      <c r="F20" s="22">
        <f>E20+'Income Statement'!F21</f>
        <v>-6320.6667187500007</v>
      </c>
      <c r="G20" s="22">
        <f>F20+'Income Statement'!G21</f>
        <v>-4746.8909128125015</v>
      </c>
      <c r="H20" s="22">
        <f>G20+'Income Statement'!H21</f>
        <v>-2039.7429055593757</v>
      </c>
    </row>
    <row r="21" spans="1:8" x14ac:dyDescent="0.2">
      <c r="A21" s="23" t="s">
        <v>100</v>
      </c>
      <c r="B21" s="24">
        <f t="shared" ref="B21:H21" si="4">B19+B20</f>
        <v>1377</v>
      </c>
      <c r="C21" s="24">
        <f t="shared" si="4"/>
        <v>2869</v>
      </c>
      <c r="D21" s="24">
        <f t="shared" si="4"/>
        <v>4856.9499999999989</v>
      </c>
      <c r="E21" s="24">
        <f t="shared" si="4"/>
        <v>3382.7424999999994</v>
      </c>
      <c r="F21" s="24">
        <f t="shared" si="4"/>
        <v>3679.3332812499993</v>
      </c>
      <c r="G21" s="24">
        <f t="shared" si="4"/>
        <v>5253.1090871874985</v>
      </c>
      <c r="H21" s="24">
        <f t="shared" si="4"/>
        <v>7960.2570944406243</v>
      </c>
    </row>
    <row r="23" spans="1:8" ht="16" thickBot="1" x14ac:dyDescent="0.25">
      <c r="A23" s="37" t="s">
        <v>101</v>
      </c>
      <c r="B23" s="39">
        <f t="shared" ref="B23:H23" si="5">B17+B21</f>
        <v>2296</v>
      </c>
      <c r="C23" s="39">
        <f t="shared" si="5"/>
        <v>3992</v>
      </c>
      <c r="D23" s="39">
        <f t="shared" si="5"/>
        <v>6344.0404109589035</v>
      </c>
      <c r="E23" s="39">
        <f t="shared" si="5"/>
        <v>5207.1589383561641</v>
      </c>
      <c r="F23" s="39">
        <f t="shared" si="5"/>
        <v>5893.028185359588</v>
      </c>
      <c r="G23" s="39">
        <f t="shared" si="5"/>
        <v>7890.7764362285943</v>
      </c>
      <c r="H23" s="39">
        <f t="shared" si="5"/>
        <v>11034.21126027076</v>
      </c>
    </row>
    <row r="25" spans="1:8" x14ac:dyDescent="0.2">
      <c r="A25" s="3" t="s">
        <v>102</v>
      </c>
      <c r="B25" s="26">
        <f t="shared" ref="B25:H25" si="6">B11-B23</f>
        <v>0</v>
      </c>
      <c r="C25" s="26">
        <f t="shared" si="6"/>
        <v>0</v>
      </c>
      <c r="D25" s="26">
        <f t="shared" si="6"/>
        <v>0</v>
      </c>
      <c r="E25" s="26">
        <f t="shared" si="6"/>
        <v>0</v>
      </c>
      <c r="F25" s="26">
        <f t="shared" si="6"/>
        <v>0</v>
      </c>
      <c r="G25" s="26">
        <f t="shared" si="6"/>
        <v>0</v>
      </c>
      <c r="H25" s="26">
        <f t="shared" si="6"/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42" customWidth="1"/>
    <col min="2" max="8" width="12" customWidth="1"/>
  </cols>
  <sheetData>
    <row r="1" spans="1:8" ht="18" x14ac:dyDescent="0.2">
      <c r="A1" s="29" t="s">
        <v>103</v>
      </c>
    </row>
    <row r="2" spans="1:8" x14ac:dyDescent="0.2">
      <c r="A2" s="33" t="s">
        <v>104</v>
      </c>
    </row>
    <row r="4" spans="1:8" x14ac:dyDescent="0.2">
      <c r="A4" s="30" t="s">
        <v>35</v>
      </c>
      <c r="B4" s="31" t="s">
        <v>36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</row>
    <row r="5" spans="1:8" x14ac:dyDescent="0.2">
      <c r="B5" s="32" t="s">
        <v>44</v>
      </c>
      <c r="C5" s="32" t="s">
        <v>44</v>
      </c>
      <c r="D5" s="32" t="s">
        <v>45</v>
      </c>
      <c r="E5" s="32" t="s">
        <v>45</v>
      </c>
      <c r="F5" s="32" t="s">
        <v>45</v>
      </c>
      <c r="G5" s="32" t="s">
        <v>45</v>
      </c>
      <c r="H5" s="32" t="s">
        <v>45</v>
      </c>
    </row>
    <row r="6" spans="1:8" x14ac:dyDescent="0.2">
      <c r="A6" s="12" t="s">
        <v>79</v>
      </c>
      <c r="B6" s="11" t="s">
        <v>105</v>
      </c>
      <c r="C6" s="11" t="s">
        <v>105</v>
      </c>
      <c r="D6" s="22">
        <f>'Income Statement'!D21</f>
        <v>-2012.0500000000011</v>
      </c>
      <c r="E6" s="22">
        <f>'Income Statement'!E21</f>
        <v>-1474.2074999999998</v>
      </c>
      <c r="F6" s="22">
        <f>'Income Statement'!F21</f>
        <v>296.59078125000019</v>
      </c>
      <c r="G6" s="22">
        <f>'Income Statement'!G21</f>
        <v>1573.7758059374994</v>
      </c>
      <c r="H6" s="22">
        <f>'Income Statement'!H21</f>
        <v>2707.1480072531258</v>
      </c>
    </row>
    <row r="7" spans="1:8" x14ac:dyDescent="0.2">
      <c r="A7" s="12" t="s">
        <v>74</v>
      </c>
      <c r="D7" s="22">
        <f>'Income Statement'!D16</f>
        <v>66.25</v>
      </c>
      <c r="E7" s="22">
        <f>'Income Statement'!E16</f>
        <v>92.887499999999989</v>
      </c>
      <c r="F7" s="22">
        <f>'Income Statement'!F16</f>
        <v>132.30562499999996</v>
      </c>
      <c r="G7" s="22">
        <f>'Income Statement'!G16</f>
        <v>183.79321874999999</v>
      </c>
      <c r="H7" s="22">
        <f>'Income Statement'!H16</f>
        <v>246.08683406249997</v>
      </c>
    </row>
    <row r="8" spans="1:8" x14ac:dyDescent="0.2">
      <c r="A8" s="12" t="s">
        <v>106</v>
      </c>
      <c r="D8" s="22">
        <f>'Balance Sheet'!C7-'Balance Sheet'!D7</f>
        <v>-266.13698630136992</v>
      </c>
      <c r="E8" s="22">
        <f>'Balance Sheet'!D7-'Balance Sheet'!E7</f>
        <v>-319.56164383561645</v>
      </c>
      <c r="F8" s="22">
        <f>'Balance Sheet'!E7-'Balance Sheet'!F7</f>
        <v>-360.39452054794538</v>
      </c>
      <c r="G8" s="22">
        <f>'Balance Sheet'!F7-'Balance Sheet'!G7</f>
        <v>-389.22608219178073</v>
      </c>
      <c r="H8" s="22">
        <f>'Balance Sheet'!G7-'Balance Sheet'!H7</f>
        <v>-391.4502312328766</v>
      </c>
    </row>
    <row r="9" spans="1:8" x14ac:dyDescent="0.2">
      <c r="A9" s="12" t="s">
        <v>107</v>
      </c>
      <c r="D9" s="22">
        <f>'Balance Sheet'!C8-'Balance Sheet'!D8</f>
        <v>0</v>
      </c>
      <c r="E9" s="22">
        <f>'Balance Sheet'!D8-'Balance Sheet'!E8</f>
        <v>0</v>
      </c>
      <c r="F9" s="22">
        <f>'Balance Sheet'!E8-'Balance Sheet'!F8</f>
        <v>0</v>
      </c>
      <c r="G9" s="22">
        <f>'Balance Sheet'!F8-'Balance Sheet'!G8</f>
        <v>0</v>
      </c>
      <c r="H9" s="22">
        <f>'Balance Sheet'!G8-'Balance Sheet'!H8</f>
        <v>0</v>
      </c>
    </row>
    <row r="10" spans="1:8" x14ac:dyDescent="0.2">
      <c r="A10" s="12" t="s">
        <v>108</v>
      </c>
      <c r="D10" s="22">
        <f>'Balance Sheet'!D13-'Balance Sheet'!C13</f>
        <v>40.09041095890413</v>
      </c>
      <c r="E10" s="22">
        <f>'Balance Sheet'!E13-'Balance Sheet'!D13</f>
        <v>48.526027397260265</v>
      </c>
      <c r="F10" s="22">
        <f>'Balance Sheet'!F13-'Balance Sheet'!E13</f>
        <v>50.798465753424665</v>
      </c>
      <c r="G10" s="22">
        <f>'Balance Sheet'!G13-'Balance Sheet'!F13</f>
        <v>50.414044931506879</v>
      </c>
      <c r="H10" s="22">
        <f>'Balance Sheet'!H13-'Balance Sheet'!G13</f>
        <v>60.022368789041082</v>
      </c>
    </row>
    <row r="11" spans="1:8" x14ac:dyDescent="0.2">
      <c r="A11" s="12" t="s">
        <v>109</v>
      </c>
      <c r="D11" s="22">
        <f>'Balance Sheet'!D14-'Balance Sheet'!C14</f>
        <v>324</v>
      </c>
      <c r="E11" s="22">
        <f>'Balance Sheet'!E14-'Balance Sheet'!D14</f>
        <v>388.79999999999995</v>
      </c>
      <c r="F11" s="22">
        <f>'Balance Sheet'!F14-'Balance Sheet'!E14</f>
        <v>438.48</v>
      </c>
      <c r="G11" s="22">
        <f>'Balance Sheet'!G14-'Balance Sheet'!F14</f>
        <v>473.55840000000012</v>
      </c>
      <c r="H11" s="22">
        <f>'Balance Sheet'!H14-'Balance Sheet'!G14</f>
        <v>476.2644479999999</v>
      </c>
    </row>
    <row r="12" spans="1:8" x14ac:dyDescent="0.2">
      <c r="A12" s="23" t="s">
        <v>110</v>
      </c>
      <c r="B12" s="27"/>
      <c r="C12" s="27"/>
      <c r="D12" s="24">
        <f>SUM(D6:D11)</f>
        <v>-1847.8465753424666</v>
      </c>
      <c r="E12" s="24">
        <f>SUM(E6:E11)</f>
        <v>-1263.5556164383559</v>
      </c>
      <c r="F12" s="24">
        <f>SUM(F6:F11)</f>
        <v>557.78035145547949</v>
      </c>
      <c r="G12" s="24">
        <f>SUM(G6:G11)</f>
        <v>1892.3153874272257</v>
      </c>
      <c r="H12" s="24">
        <f>SUM(H6:H11)</f>
        <v>3098.0714268717902</v>
      </c>
    </row>
    <row r="14" spans="1:8" x14ac:dyDescent="0.2">
      <c r="A14" s="12" t="s">
        <v>111</v>
      </c>
      <c r="D14" s="22">
        <f>-'Income Statement'!D6*Assumptions!D12</f>
        <v>-172.79999999999998</v>
      </c>
      <c r="E14" s="22">
        <f>-'Income Statement'!E6*Assumptions!E12</f>
        <v>-250.56</v>
      </c>
      <c r="F14" s="22">
        <f>-'Income Statement'!F6*Assumptions!F12</f>
        <v>-338.25600000000003</v>
      </c>
      <c r="G14" s="22">
        <f>-'Income Statement'!G6*Assumptions!G12</f>
        <v>-432.96768000000003</v>
      </c>
      <c r="H14" s="22">
        <f>-'Income Statement'!H6*Assumptions!H12</f>
        <v>-528.22056960000009</v>
      </c>
    </row>
    <row r="15" spans="1:8" x14ac:dyDescent="0.2">
      <c r="A15" s="23" t="s">
        <v>112</v>
      </c>
      <c r="B15" s="27"/>
      <c r="C15" s="27"/>
      <c r="D15" s="24">
        <f>D14</f>
        <v>-172.79999999999998</v>
      </c>
      <c r="E15" s="24">
        <f>E14</f>
        <v>-250.56</v>
      </c>
      <c r="F15" s="24">
        <f>F14</f>
        <v>-338.25600000000003</v>
      </c>
      <c r="G15" s="24">
        <f>G14</f>
        <v>-432.96768000000003</v>
      </c>
      <c r="H15" s="24">
        <f>H14</f>
        <v>-528.22056960000009</v>
      </c>
    </row>
    <row r="17" spans="1:8" x14ac:dyDescent="0.2">
      <c r="A17" s="12" t="s">
        <v>60</v>
      </c>
      <c r="D17" s="22">
        <f>Assumptions!D22</f>
        <v>0</v>
      </c>
      <c r="E17" s="22">
        <f>Assumptions!E22</f>
        <v>-100</v>
      </c>
      <c r="F17" s="22">
        <f>Assumptions!F22</f>
        <v>-100</v>
      </c>
      <c r="G17" s="22">
        <f>Assumptions!G22</f>
        <v>-100</v>
      </c>
      <c r="H17" s="22">
        <f>Assumptions!H22</f>
        <v>-100</v>
      </c>
    </row>
    <row r="18" spans="1:8" x14ac:dyDescent="0.2">
      <c r="A18" s="12" t="s">
        <v>62</v>
      </c>
      <c r="D18" s="22">
        <f>Assumptions!D24</f>
        <v>4000</v>
      </c>
      <c r="E18" s="22">
        <f>Assumptions!E24</f>
        <v>0</v>
      </c>
      <c r="F18" s="22">
        <f>Assumptions!F24</f>
        <v>0</v>
      </c>
      <c r="G18" s="22">
        <f>Assumptions!G24</f>
        <v>0</v>
      </c>
      <c r="H18" s="22">
        <f>Assumptions!H24</f>
        <v>0</v>
      </c>
    </row>
    <row r="19" spans="1:8" x14ac:dyDescent="0.2">
      <c r="A19" s="23" t="s">
        <v>113</v>
      </c>
      <c r="B19" s="27"/>
      <c r="C19" s="27"/>
      <c r="D19" s="24">
        <f>D17+D18</f>
        <v>4000</v>
      </c>
      <c r="E19" s="24">
        <f>E17+E18</f>
        <v>-100</v>
      </c>
      <c r="F19" s="24">
        <f>F17+F18</f>
        <v>-100</v>
      </c>
      <c r="G19" s="24">
        <f>G17+G18</f>
        <v>-100</v>
      </c>
      <c r="H19" s="24">
        <f>H17+H18</f>
        <v>-100</v>
      </c>
    </row>
    <row r="21" spans="1:8" x14ac:dyDescent="0.2">
      <c r="A21" s="23" t="s">
        <v>114</v>
      </c>
      <c r="B21" s="27"/>
      <c r="C21" s="27"/>
      <c r="D21" s="24">
        <f>D12+D15+D19</f>
        <v>1979.3534246575334</v>
      </c>
      <c r="E21" s="24">
        <f>E12+E15+E19</f>
        <v>-1614.1156164383558</v>
      </c>
      <c r="F21" s="24">
        <f>F12+F15+F19</f>
        <v>119.52435145547946</v>
      </c>
      <c r="G21" s="24">
        <f>G12+G15+G19</f>
        <v>1359.3477074272257</v>
      </c>
      <c r="H21" s="24">
        <f>H12+H15+H19</f>
        <v>2469.8508572717901</v>
      </c>
    </row>
    <row r="22" spans="1:8" x14ac:dyDescent="0.2">
      <c r="A22" s="12" t="s">
        <v>115</v>
      </c>
      <c r="D22" s="22">
        <f>'Balance Sheet'!C6</f>
        <v>3283</v>
      </c>
      <c r="E22" s="22">
        <f>'Balance Sheet'!D6</f>
        <v>5262.3534246575337</v>
      </c>
      <c r="F22" s="22">
        <f>'Balance Sheet'!E6</f>
        <v>3648.2378082191781</v>
      </c>
      <c r="G22" s="22">
        <f>'Balance Sheet'!F6</f>
        <v>3767.7621596746576</v>
      </c>
      <c r="H22" s="22">
        <f>'Balance Sheet'!G6</f>
        <v>5127.1098671018835</v>
      </c>
    </row>
    <row r="23" spans="1:8" x14ac:dyDescent="0.2">
      <c r="A23" s="23" t="s">
        <v>116</v>
      </c>
      <c r="B23" s="27"/>
      <c r="C23" s="27"/>
      <c r="D23" s="24">
        <f>D21+D22</f>
        <v>5262.3534246575337</v>
      </c>
      <c r="E23" s="24">
        <f>E21+E22</f>
        <v>3648.2378082191781</v>
      </c>
      <c r="F23" s="24">
        <f>F21+F22</f>
        <v>3767.7621596746576</v>
      </c>
      <c r="G23" s="24">
        <f>G21+G22</f>
        <v>5127.1098671018835</v>
      </c>
      <c r="H23" s="24">
        <f>H21+H22</f>
        <v>7596.9607243736737</v>
      </c>
    </row>
    <row r="25" spans="1:8" s="36" customFormat="1" ht="16" thickBot="1" x14ac:dyDescent="0.25">
      <c r="A25" s="37" t="s">
        <v>117</v>
      </c>
      <c r="B25" s="38"/>
      <c r="C25" s="38"/>
      <c r="D25" s="39">
        <f>D12+D14</f>
        <v>-2020.6465753424666</v>
      </c>
      <c r="E25" s="39">
        <f>E12+E14</f>
        <v>-1514.1156164383558</v>
      </c>
      <c r="F25" s="39">
        <f>F12+F14</f>
        <v>219.52435145547946</v>
      </c>
      <c r="G25" s="39">
        <f>G12+G14</f>
        <v>1459.3477074272257</v>
      </c>
      <c r="H25" s="39">
        <f>H12+H14</f>
        <v>2569.8508572717901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zoomScaleNormal="100" workbookViewId="0"/>
  </sheetViews>
  <sheetFormatPr baseColWidth="10" defaultColWidth="8.6640625" defaultRowHeight="15" x14ac:dyDescent="0.2"/>
  <cols>
    <col min="1" max="1" width="46" customWidth="1"/>
    <col min="2" max="2" width="17.1640625" bestFit="1" customWidth="1"/>
    <col min="3" max="8" width="17.1640625" customWidth="1"/>
  </cols>
  <sheetData>
    <row r="1" spans="1:8" ht="18" x14ac:dyDescent="0.2">
      <c r="A1" s="29" t="s">
        <v>118</v>
      </c>
    </row>
    <row r="2" spans="1:8" x14ac:dyDescent="0.2">
      <c r="A2" s="33" t="s">
        <v>119</v>
      </c>
    </row>
    <row r="4" spans="1:8" x14ac:dyDescent="0.2">
      <c r="A4" s="30" t="s">
        <v>120</v>
      </c>
      <c r="B4" s="31" t="s">
        <v>36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</row>
    <row r="6" spans="1:8" x14ac:dyDescent="0.2">
      <c r="A6" s="12" t="s">
        <v>121</v>
      </c>
      <c r="B6" s="35" t="str">
        <f>IF(ABS('Balance Sheet'!B25)&lt;0.5,"OK","ERROR")</f>
        <v>OK</v>
      </c>
      <c r="C6" s="35" t="str">
        <f>IF(ABS('Balance Sheet'!C25)&lt;0.5,"OK","ERROR")</f>
        <v>OK</v>
      </c>
      <c r="D6" s="35" t="str">
        <f>IF(ABS('Balance Sheet'!D25)&lt;0.5,"OK","ERROR")</f>
        <v>OK</v>
      </c>
      <c r="E6" s="35" t="str">
        <f>IF(ABS('Balance Sheet'!E25)&lt;0.5,"OK","ERROR")</f>
        <v>OK</v>
      </c>
      <c r="F6" s="35" t="str">
        <f>IF(ABS('Balance Sheet'!F25)&lt;0.5,"OK","ERROR")</f>
        <v>OK</v>
      </c>
      <c r="G6" s="35" t="str">
        <f>IF(ABS('Balance Sheet'!G25)&lt;0.5,"OK","ERROR")</f>
        <v>OK</v>
      </c>
      <c r="H6" s="35" t="str">
        <f>IF(ABS('Balance Sheet'!H25)&lt;0.5,"OK","ERROR")</f>
        <v>OK</v>
      </c>
    </row>
    <row r="7" spans="1:8" x14ac:dyDescent="0.2">
      <c r="A7" s="12" t="s">
        <v>122</v>
      </c>
      <c r="B7" s="35" t="s">
        <v>105</v>
      </c>
      <c r="C7" s="35" t="s">
        <v>105</v>
      </c>
      <c r="D7" s="35" t="str">
        <f>IF(ABS('Balance Sheet'!D6-'Cash Flow'!D23)&lt;0.5,"OK","ERROR")</f>
        <v>OK</v>
      </c>
      <c r="E7" s="35" t="str">
        <f>IF(ABS('Balance Sheet'!E6-'Cash Flow'!E23)&lt;0.5,"OK","ERROR")</f>
        <v>OK</v>
      </c>
      <c r="F7" s="35" t="str">
        <f>IF(ABS('Balance Sheet'!F6-'Cash Flow'!F23)&lt;0.5,"OK","ERROR")</f>
        <v>OK</v>
      </c>
      <c r="G7" s="35" t="str">
        <f>IF(ABS('Balance Sheet'!G6-'Cash Flow'!G23)&lt;0.5,"OK","ERROR")</f>
        <v>OK</v>
      </c>
      <c r="H7" s="35" t="str">
        <f>IF(ABS('Balance Sheet'!H6-'Cash Flow'!H23)&lt;0.5,"OK","ERROR")</f>
        <v>OK</v>
      </c>
    </row>
    <row r="8" spans="1:8" x14ac:dyDescent="0.2">
      <c r="A8" s="12" t="s">
        <v>123</v>
      </c>
      <c r="B8" s="35" t="s">
        <v>105</v>
      </c>
      <c r="C8" s="35" t="str">
        <f>IF(ABS('Balance Sheet'!C20-('Balance Sheet'!B20+'Income Statement'!C21))&lt;0.5,"OK","ERROR")</f>
        <v>OK</v>
      </c>
      <c r="D8" s="35" t="str">
        <f>IF(ABS('Balance Sheet'!D20-('Balance Sheet'!C20+'Income Statement'!D21))&lt;0.5,"OK","ERROR")</f>
        <v>OK</v>
      </c>
      <c r="E8" s="35" t="str">
        <f>IF(ABS('Balance Sheet'!E20-('Balance Sheet'!D20+'Income Statement'!E21))&lt;0.5,"OK","ERROR")</f>
        <v>OK</v>
      </c>
      <c r="F8" s="35" t="str">
        <f>IF(ABS('Balance Sheet'!F20-('Balance Sheet'!E20+'Income Statement'!F21))&lt;0.5,"OK","ERROR")</f>
        <v>OK</v>
      </c>
      <c r="G8" s="35" t="str">
        <f>IF(ABS('Balance Sheet'!G20-('Balance Sheet'!F20+'Income Statement'!G21))&lt;0.5,"OK","ERROR")</f>
        <v>OK</v>
      </c>
      <c r="H8" s="35" t="str">
        <f>IF(ABS('Balance Sheet'!H20-('Balance Sheet'!G20+'Income Statement'!H21))&lt;0.5,"OK","ERROR")</f>
        <v>OK</v>
      </c>
    </row>
    <row r="9" spans="1:8" x14ac:dyDescent="0.2">
      <c r="A9" s="12" t="s">
        <v>124</v>
      </c>
      <c r="B9" s="35" t="str">
        <f>IF('Balance Sheet'!B6&gt;=0,"OK","NEGATIVE CASH")</f>
        <v>OK</v>
      </c>
      <c r="C9" s="35" t="str">
        <f>IF('Balance Sheet'!C6&gt;=0,"OK","NEGATIVE CASH")</f>
        <v>OK</v>
      </c>
      <c r="D9" s="35" t="str">
        <f>IF('Balance Sheet'!D6&gt;=0,"OK","NEGATIVE CASH")</f>
        <v>OK</v>
      </c>
      <c r="E9" s="35" t="str">
        <f>IF('Balance Sheet'!E6&gt;=0,"OK","NEGATIVE CASH")</f>
        <v>OK</v>
      </c>
      <c r="F9" s="35" t="str">
        <f>IF('Balance Sheet'!F6&gt;=0,"OK","NEGATIVE CASH")</f>
        <v>OK</v>
      </c>
      <c r="G9" s="35" t="str">
        <f>IF('Balance Sheet'!G6&gt;=0,"OK","NEGATIVE CASH")</f>
        <v>OK</v>
      </c>
      <c r="H9" s="35" t="str">
        <f>IF('Balance Sheet'!H6&gt;=0,"OK","NEGATIVE CASH")</f>
        <v>OK</v>
      </c>
    </row>
    <row r="10" spans="1:8" ht="16" thickBot="1" x14ac:dyDescent="0.25"/>
    <row r="11" spans="1:8" ht="16" thickBot="1" x14ac:dyDescent="0.25">
      <c r="A11" s="3" t="s">
        <v>125</v>
      </c>
      <c r="B11" s="34" t="str">
        <f>IF(COUNTIF(B6:H9,"ERROR")+COUNTIF(B6:H9,"NEGATIVE CASH")=0,"ALL CHECKS PASS","CHECK FAILED — see above")</f>
        <v>ALL CHECKS PASS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Assumptions</vt:lpstr>
      <vt:lpstr>Income Statement</vt:lpstr>
      <vt:lpstr>Balance Sheet</vt:lpstr>
      <vt:lpstr>Cash Flow</vt:lpstr>
      <vt:lpstr>Checks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Bogdan Stepanov</cp:lastModifiedBy>
  <cp:revision>0</cp:revision>
  <dcterms:created xsi:type="dcterms:W3CDTF">2026-09-25T05:56:15Z</dcterms:created>
  <dcterms:modified xsi:type="dcterms:W3CDTF">2026-09-25T06:00:58Z</dcterms:modified>
  <dc:language>en-US</dc:language>
</cp:coreProperties>
</file>